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80586FBB-5F5E-B84C-8535-B46AC46EE5A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T15" i="1"/>
  <c r="BT16" i="1"/>
  <c r="BF17" i="1"/>
  <c r="BT17" i="1"/>
  <c r="BT18" i="1"/>
  <c r="BF19" i="1"/>
  <c r="BT19" i="1"/>
  <c r="BF20" i="1"/>
  <c r="BT20" i="1"/>
  <c r="BT21" i="1"/>
  <c r="BF22" i="1"/>
  <c r="BT22" i="1"/>
  <c r="BF23" i="1"/>
  <c r="BT23" i="1"/>
  <c r="BF24" i="1"/>
  <c r="BT24" i="1"/>
  <c r="BF25" i="1"/>
  <c r="BT25" i="1"/>
  <c r="BF26" i="1"/>
  <c r="BT26" i="1"/>
  <c r="BF27" i="1"/>
  <c r="BT27"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T73" i="1"/>
  <c r="BT74" i="1"/>
  <c r="BT75"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T141" i="1"/>
  <c r="BT142" i="1"/>
  <c r="BF143" i="1"/>
  <c r="BT143" i="1"/>
  <c r="BF144" i="1"/>
  <c r="BT144"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T188" i="1"/>
  <c r="BF189" i="1"/>
  <c r="BT189" i="1"/>
  <c r="BF190" i="1"/>
  <c r="BT190" i="1"/>
  <c r="BF191" i="1"/>
  <c r="BT191" i="1"/>
  <c r="BF192" i="1"/>
  <c r="BT192" i="1"/>
  <c r="BF193" i="1"/>
  <c r="BT193" i="1"/>
  <c r="BF194" i="1"/>
  <c r="BT194" i="1"/>
  <c r="BT195" i="1"/>
  <c r="BT196" i="1"/>
  <c r="BT197" i="1"/>
  <c r="BF198" i="1"/>
  <c r="BT198" i="1"/>
  <c r="BF199" i="1"/>
  <c r="BT199" i="1"/>
  <c r="BT200" i="1"/>
  <c r="BT201" i="1"/>
  <c r="BT202" i="1"/>
  <c r="BT203" i="1"/>
  <c r="BF204" i="1"/>
  <c r="BT204" i="1"/>
  <c r="BT205" i="1"/>
  <c r="BF206" i="1"/>
  <c r="BT206" i="1"/>
  <c r="BF207" i="1"/>
  <c r="BT207" i="1"/>
  <c r="BF208" i="1"/>
  <c r="BT208" i="1"/>
  <c r="BF209" i="1"/>
  <c r="BT209" i="1"/>
  <c r="BT210" i="1"/>
  <c r="BF211" i="1"/>
  <c r="BT211" i="1"/>
  <c r="BF212" i="1"/>
  <c r="BT212" i="1"/>
  <c r="BF213" i="1"/>
  <c r="BT213" i="1"/>
  <c r="BF214" i="1"/>
  <c r="BT214" i="1"/>
  <c r="BF215" i="1"/>
  <c r="BT215"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T244"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T352" i="1"/>
  <c r="BT353" i="1"/>
  <c r="BT354"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T382" i="1"/>
  <c r="BF383" i="1"/>
  <c r="BT383" i="1"/>
  <c r="BF384" i="1"/>
  <c r="BT384" i="1"/>
  <c r="BF385" i="1"/>
  <c r="BT385" i="1"/>
  <c r="BF386" i="1"/>
  <c r="BT386" i="1"/>
  <c r="BF387" i="1"/>
  <c r="BT387" i="1"/>
  <c r="BT388" i="1"/>
  <c r="BF389" i="1"/>
  <c r="BT389" i="1"/>
  <c r="BT390" i="1"/>
  <c r="BT391" i="1"/>
  <c r="BF392" i="1"/>
  <c r="BT392" i="1"/>
  <c r="BF393" i="1"/>
  <c r="BT393" i="1"/>
  <c r="BF394" i="1"/>
  <c r="BT394" i="1"/>
  <c r="BT395" i="1"/>
  <c r="BF396" i="1"/>
  <c r="BT396" i="1"/>
  <c r="BT397"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T528"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T597" i="1"/>
  <c r="BF598" i="1"/>
  <c r="BT598" i="1"/>
  <c r="BT599" i="1"/>
  <c r="BT600" i="1"/>
  <c r="BT601" i="1"/>
  <c r="BT602" i="1"/>
  <c r="BT603" i="1"/>
  <c r="BT604" i="1"/>
  <c r="BT605" i="1"/>
  <c r="BF606" i="1"/>
  <c r="BT606"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T660" i="1"/>
  <c r="BF661" i="1"/>
  <c r="BT661" i="1"/>
  <c r="BF662" i="1"/>
  <c r="BT662" i="1"/>
  <c r="BF663" i="1"/>
  <c r="BT663" i="1"/>
  <c r="BF664" i="1"/>
  <c r="BT664" i="1"/>
  <c r="BT665" i="1"/>
  <c r="BT666" i="1"/>
  <c r="BT667" i="1"/>
  <c r="BT668" i="1"/>
  <c r="BT669" i="1"/>
  <c r="BT670" i="1"/>
  <c r="BT671" i="1"/>
  <c r="BT672" i="1"/>
  <c r="BT673" i="1"/>
  <c r="BT674" i="1"/>
  <c r="BT675" i="1"/>
  <c r="BT676" i="1"/>
  <c r="BT677" i="1"/>
  <c r="BT678" i="1"/>
  <c r="BT679" i="1"/>
  <c r="BT680" i="1"/>
  <c r="BT681" i="1"/>
  <c r="BT682" i="1"/>
  <c r="BT683" i="1"/>
  <c r="BT684" i="1"/>
  <c r="BT685" i="1"/>
  <c r="BT686" i="1"/>
  <c r="BT687" i="1"/>
  <c r="BT688" i="1"/>
  <c r="BT689" i="1"/>
  <c r="BT690" i="1"/>
  <c r="BT691" i="1"/>
  <c r="BT692" i="1"/>
  <c r="BT693" i="1"/>
  <c r="BF694" i="1"/>
  <c r="BT694" i="1"/>
  <c r="BT695" i="1"/>
  <c r="BF696" i="1"/>
  <c r="BT696" i="1"/>
  <c r="BT697" i="1"/>
  <c r="BF698" i="1"/>
  <c r="BT698" i="1"/>
  <c r="BT699" i="1"/>
  <c r="BT700"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T740"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T757" i="1"/>
  <c r="BT758" i="1"/>
  <c r="BT759" i="1"/>
  <c r="BT760" i="1"/>
  <c r="BT761" i="1"/>
  <c r="BF762" i="1"/>
  <c r="BT762" i="1"/>
  <c r="BF763" i="1"/>
  <c r="BT763" i="1"/>
  <c r="BT764" i="1"/>
  <c r="BT765" i="1"/>
  <c r="BT766" i="1"/>
  <c r="BT767" i="1"/>
  <c r="BT768" i="1"/>
  <c r="BT769" i="1"/>
  <c r="BT770" i="1"/>
  <c r="BT771" i="1"/>
  <c r="BT772" i="1"/>
  <c r="BT773" i="1"/>
  <c r="BT774" i="1"/>
  <c r="BT775" i="1"/>
  <c r="BT776" i="1"/>
  <c r="BT777" i="1"/>
  <c r="BF778" i="1"/>
  <c r="BT778" i="1"/>
  <c r="BT779" i="1"/>
  <c r="BT780" i="1"/>
  <c r="BT781" i="1"/>
  <c r="BT782" i="1"/>
  <c r="BT783" i="1"/>
  <c r="BT784" i="1"/>
  <c r="BT785" i="1"/>
  <c r="BT786" i="1"/>
  <c r="BT787" i="1"/>
  <c r="BT788" i="1"/>
  <c r="BF789" i="1"/>
  <c r="BT789" i="1"/>
  <c r="BF790" i="1"/>
  <c r="BT790" i="1"/>
  <c r="BF791" i="1"/>
  <c r="BT791" i="1"/>
  <c r="BF792" i="1"/>
  <c r="BT792" i="1"/>
  <c r="BF793" i="1"/>
  <c r="BT793" i="1"/>
  <c r="BF794" i="1"/>
  <c r="BT794" i="1"/>
  <c r="BT795" i="1"/>
  <c r="BT796" i="1"/>
  <c r="BT797" i="1"/>
  <c r="BT798" i="1"/>
  <c r="BT799"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T819" i="1"/>
  <c r="BT820"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T853" i="1"/>
  <c r="BT854"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T909" i="1"/>
  <c r="BF910" i="1"/>
  <c r="BT910" i="1"/>
  <c r="BF911" i="1"/>
  <c r="BT911" i="1"/>
  <c r="BF912" i="1"/>
  <c r="BT912" i="1"/>
  <c r="BT913" i="1"/>
  <c r="BT914" i="1"/>
  <c r="BF915" i="1"/>
  <c r="BT915" i="1"/>
  <c r="BF916" i="1"/>
  <c r="BT916" i="1"/>
  <c r="BF917" i="1"/>
  <c r="BT917" i="1"/>
  <c r="BF918" i="1"/>
  <c r="BT918" i="1"/>
  <c r="BF919" i="1"/>
  <c r="BT919" i="1"/>
  <c r="BF920" i="1"/>
  <c r="BT920" i="1"/>
  <c r="BF921" i="1"/>
  <c r="BT921" i="1"/>
  <c r="BF922" i="1"/>
  <c r="BT922" i="1"/>
  <c r="BF923" i="1"/>
  <c r="BT923" i="1"/>
  <c r="BF924" i="1"/>
  <c r="BT924" i="1"/>
  <c r="BT925" i="1"/>
  <c r="BF926" i="1"/>
  <c r="BT926" i="1"/>
  <c r="BF927" i="1"/>
  <c r="BT927" i="1"/>
  <c r="BT928" i="1"/>
  <c r="BF929" i="1"/>
  <c r="BT929" i="1"/>
  <c r="BF930" i="1"/>
  <c r="BT930" i="1"/>
  <c r="BF931" i="1"/>
  <c r="BT931"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T947" i="1"/>
  <c r="BT948" i="1"/>
  <c r="BT949" i="1"/>
  <c r="BT950" i="1"/>
  <c r="BT951" i="1"/>
  <c r="BT952" i="1"/>
  <c r="BT953" i="1"/>
  <c r="BT954" i="1"/>
  <c r="BT955" i="1"/>
  <c r="BT956"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T970" i="1"/>
  <c r="BF971" i="1"/>
  <c r="BT971" i="1"/>
  <c r="BF972" i="1"/>
  <c r="BT972" i="1"/>
  <c r="BT973" i="1"/>
  <c r="BT974" i="1"/>
  <c r="BF975" i="1"/>
  <c r="BT975" i="1"/>
  <c r="BF976" i="1"/>
  <c r="BT976" i="1"/>
  <c r="BF977" i="1"/>
  <c r="BT977" i="1"/>
  <c r="BT978" i="1"/>
  <c r="BF979" i="1"/>
  <c r="BT979" i="1"/>
  <c r="BT980" i="1"/>
  <c r="BF981" i="1"/>
  <c r="BT981" i="1"/>
  <c r="BF982" i="1"/>
  <c r="BT982" i="1"/>
  <c r="BF983" i="1"/>
  <c r="BT983" i="1"/>
  <c r="BT984" i="1"/>
  <c r="BT985" i="1"/>
  <c r="BT986" i="1"/>
  <c r="BT987" i="1"/>
  <c r="BF988" i="1"/>
  <c r="BT988" i="1"/>
  <c r="BF989" i="1"/>
  <c r="BT989" i="1"/>
  <c r="BF990" i="1"/>
  <c r="BT990" i="1"/>
  <c r="BF991" i="1"/>
  <c r="BT991" i="1"/>
  <c r="BT992" i="1"/>
  <c r="BF993" i="1"/>
  <c r="BT993" i="1"/>
  <c r="BF994" i="1"/>
  <c r="BT994" i="1"/>
  <c r="BF995" i="1"/>
  <c r="BT995" i="1"/>
  <c r="BF996" i="1"/>
  <c r="BT996" i="1"/>
  <c r="BF997" i="1"/>
  <c r="BT997" i="1"/>
  <c r="BF998" i="1"/>
  <c r="BT998" i="1"/>
  <c r="BF999" i="1"/>
  <c r="BT999" i="1"/>
  <c r="BF1000" i="1"/>
  <c r="BT1000" i="1"/>
  <c r="BT1001" i="1"/>
</calcChain>
</file>

<file path=xl/sharedStrings.xml><?xml version="1.0" encoding="utf-8"?>
<sst xmlns="http://schemas.openxmlformats.org/spreadsheetml/2006/main" count="59675" uniqueCount="14199">
  <si>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</si>
  <si>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</si>
  <si>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</si>
  <si>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</si>
  <si>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</si>
  <si>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</si>
  <si>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</si>
  <si>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</si>
  <si>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</si>
  <si>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</si>
  <si>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</si>
  <si>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</si>
  <si>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</si>
  <si>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</si>
  <si>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</si>
  <si>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</si>
  <si>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</si>
  <si>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</si>
  <si>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</si>
  <si>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</si>
  <si>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</si>
  <si>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</si>
  <si>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</si>
  <si>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</si>
  <si>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</si>
  <si>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</si>
  <si>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</si>
  <si>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</si>
  <si>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</si>
  <si>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</si>
  <si>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</si>
  <si>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</si>
  <si>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</si>
  <si>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</si>
  <si>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</si>
  <si>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</si>
  <si>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</si>
  <si>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</si>
  <si>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</si>
  <si>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</si>
  <si>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</si>
  <si>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</si>
  <si>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</si>
  <si>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</si>
  <si>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</si>
  <si>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</si>
  <si>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</si>
  <si>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</si>
  <si>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</si>
  <si>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</si>
  <si>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</si>
  <si>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</si>
  <si>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</si>
  <si>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</si>
  <si>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</si>
  <si>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</si>
  <si>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</si>
  <si>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</si>
  <si>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</si>
  <si>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</si>
  <si>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</si>
  <si>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</si>
  <si>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</si>
  <si>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</si>
  <si>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</si>
  <si>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</si>
  <si>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</si>
  <si>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</si>
  <si>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</si>
  <si>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</si>
  <si>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</si>
  <si>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</si>
  <si>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</si>
  <si>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Peters, KJ; Amsler, CD; Amsler, MO; McClintock, JB; Dunbar, RB; Baker, BJ</t>
  </si>
  <si>
    <t/>
  </si>
  <si>
    <t>A comparative analysis of the nutritional and elemental composition of macroalgae from the western Antarctic Peninsula</t>
  </si>
  <si>
    <t>PHYCOLOGIA</t>
  </si>
  <si>
    <t>English</t>
  </si>
  <si>
    <t>Article</t>
  </si>
  <si>
    <t>KING-GEORGE ISLAND; CHEMICAL DEFENSES; NUTRIENT AVAILABILITY; NITROGEN LIMITATION; SIGNY-ISLAND; FOOD CHOICE; AMPHIPOD; BIOMASS; PLANTS; ASSIMILATION</t>
  </si>
  <si>
    <t>The nutritional compositions of 40 antarctic macroalgal species from the western Antarctic Peninsula were analyzed during two periods, one early in the growing season and one late in the growing season. Protein levels were greater than those reported in macroalgae from temperate and tropical latitudes. These high protein levels are presumed to be related to the nutrient-rich waters in which the macroalgae reside. There was a significant interaction between time of season and species as well as taxonomic grouping for the species collected both seasons. A total of 36 species were further analyzed for total percent N and C and their C: N ratios. Total nitrogen [% dry weight (dw)] levels were found to be above critical nitrogen levels (1.5%dw) reportedly needed for maximum growth in all but two of the species examined. The C: N ratios were found to be low with respect to those published from other latitudes and similar to those reported in the waters off the western Antarctic Peninsula. Nineteen species had C: N ratios below 10: 1, which is half of the 20: 1 C: N ratio reported as a mean for benthic marine plants from temperate and tropical latitudes. Analysis of nutritional composition and elemental content yielded no correlations between protein levels and nitrogen contents when all macroalgae were combined. Our results support the general hypothesis that nitrogen is not a limiting factor for protein production of antarctic rnacroalgae.</t>
  </si>
  <si>
    <t>Univ Alabama, Dept Biol, Birmingham, AL 35294 USA; Stanford Univ, Dept Geog &amp; Environm Sci, Stanford, CA 94305 USA; Univ S Florida, Dept Chem, Tampa, FL 33620 USA</t>
  </si>
  <si>
    <t>University of Alabama System; University of Alabama Birmingham; Stanford University; State University System of Florida; University of South Florida</t>
  </si>
  <si>
    <t>Peters, KJ (corresponding author), Univ Alabama, Dept Biol, Birmingham, AL 35294 USA.</t>
  </si>
  <si>
    <t>kpeters@uab.edu</t>
  </si>
  <si>
    <t>Baker, Bill/N-4312-2019</t>
  </si>
  <si>
    <t>Dunbar, Robert/0000-0002-9728-5609; Amsler, Charles/0000-0002-4843-3759</t>
  </si>
  <si>
    <t>INT PHYCOLOGICAL SOC</t>
  </si>
  <si>
    <t>LAWRENCE</t>
  </si>
  <si>
    <t>NEW BUSINESS OFFICE, PO BOX 1897, LAWRENCE, KS 66044-8897 USA</t>
  </si>
  <si>
    <t>0031-8884</t>
  </si>
  <si>
    <t>Phycologia</t>
  </si>
  <si>
    <t>JUL</t>
  </si>
  <si>
    <t>10.2216/0031-8884(2005)44[453:ACAOTN]2.0.CO;2</t>
  </si>
  <si>
    <t>Plant Sciences; Marine &amp; Freshwater Biology</t>
  </si>
  <si>
    <t>Science Citation Index Expanded (SCI-EXPANDED)</t>
  </si>
  <si>
    <t>948KM</t>
  </si>
  <si>
    <t>2024-04-21</t>
  </si>
  <si>
    <t>WOS:000230714700011</t>
  </si>
  <si>
    <t>Field, IC; Bradshaw, CJA; Burton, HR; Hindell, MA</t>
  </si>
  <si>
    <t>Juvenile southern elephant seals exhibit seasonal differences in energetic requirements and use of lipids and protein stores</t>
  </si>
  <si>
    <t>PHYSIOLOGICAL AND BIOCHEMICAL ZOOLOGY</t>
  </si>
  <si>
    <t>BODY-MASS LOSS; MIROUNGA-LEONINA; BLUBBER THICKNESS; POSTWEANING FAST; METABOLIC-RATE; GROWTH; PUPS; SIZE; BEHAVIOR; MOLT</t>
  </si>
  <si>
    <t>Growing juvenile animals undergo many morphological, physiological, and behavioural changes that influence their energetic requirements, patterns of energy use, and ultimately, their survival and reproductive success. We examined changes in mass loss and body composition of juvenile southern elephant seals (1- and 2-yr-olds) during their two annual haul-outs. At the start and end of the midyear and molt haul-outs, we caught, weighed, and measured 41 and 14 seals, respectively. We measured blubber depth using ultrasound to estimate body composition ( lean and adipose tissue mass). Using energy densities of the adipose and lean tissue, we calculated total, lean, and adipose mass changes and energy expenditure. While molting, juvenile seals used more energy than during the midyear, which is related to the increased use of lean tissue for hair and skin regeneration. The amount of energy used increases with mass as individuals mature. We found sexual differences in energy use where females retained greater fat reserves than males by utilizing more lean tissue. These differences are most likely related to haul-out function and behavior, growth, and earlier development of females toward sexual maturity.</t>
  </si>
  <si>
    <t>Univ Tasmania, Sch Zool, Antarctic Wildlife Res Unit, Hobart, Tas 7001, Australia; Australian Antarctic Div, Kingston, Tas 7050, Australia; Charles Darwin Univ, Res Sch Environm Studies, Key Ctr Trop Wildlife Managmenet, Darwin, NT 0909, Australia</t>
  </si>
  <si>
    <t>University of Tasmania; Australian Antarctic Division; Charles Darwin University</t>
  </si>
  <si>
    <t>Univ Tasmania, Sch Zool, Antarctic Wildlife Res Unit, Private Bag 05, Hobart, Tas 7001, Australia.</t>
  </si>
  <si>
    <t>icfield@utas.edu.au</t>
  </si>
  <si>
    <t>Hindell, Mark A/C-8368-2013; Field, Iain C/D-3934-2009; Bradshaw, Corey J. A./A-1311-2008; Hindell, Mark A/K-1131-2013</t>
  </si>
  <si>
    <t>Bradshaw, Corey J. A./0000-0002-5328-7741; Hindell, Mark/0000-0002-7823-7185</t>
  </si>
  <si>
    <t>UNIV CHICAGO PRESS</t>
  </si>
  <si>
    <t>CHICAGO</t>
  </si>
  <si>
    <t>1427 E 60TH ST, CHICAGO, IL 60637-2954 USA</t>
  </si>
  <si>
    <t>1522-2152</t>
  </si>
  <si>
    <t>1537-5293</t>
  </si>
  <si>
    <t>PHYSIOL BIOCHEM ZOOL</t>
  </si>
  <si>
    <t>Physiol. Biochem. Zool.</t>
  </si>
  <si>
    <t>JUL-AUG</t>
  </si>
  <si>
    <t>10.1086/430227</t>
  </si>
  <si>
    <t>Physiology; Zoology</t>
  </si>
  <si>
    <t>938DE</t>
  </si>
  <si>
    <t>WOS:000229979300003</t>
  </si>
  <si>
    <t>Lannig, G; Storch, D; Pörtner, HO</t>
  </si>
  <si>
    <t>Aerobic mitochondrial capacities in Antarctic and temperate eelpout (Zoarcidae) subjected to warm versus cold acclimation</t>
  </si>
  <si>
    <t>POLAR BIOLOGY</t>
  </si>
  <si>
    <t>STANDARD METABOLIC-RATE; DEPENDENT BIOGEOGRAPHY; THERMAL TOLERANCE; RED MUSCLE; PHYSIOLOGICAL-BASIS; ENERGY-METABOLISM; CHANNEL CATFISH; INNER MEMBRANE; ADAPTATION; FISHES</t>
  </si>
  <si>
    <t>Capacities and effects of cold or warm acclimation were investigated in two zoarcid species from the North Sea (Zoarces viviparus) and the Antarctic (Pachycara brachycephalum) by investigating temperature dependent mitochondrial respiration and activities of citrate synthase (CS) and NADP(+)-dependent isocitrate dehydrogenase (IDH) in the liver. Antarctic eelpout were acclimated to 5 degrees C and 0 degrees C (controls) for at least 10 months, whereas boreal eelpout, Z. viviparus (North Sea) were acclimated to 5 degrees C and to 10 degrees C (controls). Liver sizes were found to be increased in both species in the cold, with a concomitant rise in liver mitochondrial protein content. As a result, total liver state III rates were elevated in both cold-versus and warm-exposed P. brachycephalum and Z. viviparus, with the highest rates in boreal eelpout acclimated to 5 degrees C. CS and IDH activities in the total liver were similar in Z. viviparus acclimated to 5 degrees C and 10 degrees C, but decreased in those warm acclimated versus control P. brachycephalum. Enzyme capacities in the total liver were higher in eelpout from Antarctica than those from the North Sea. In conclusion, cold compensation of aerobic capacities in the liver seems to be linked to an increase in organ size with unchanged specific mitochondrial protein content. Despite its life in permanently cold climate, P. brachycephalum was able to reduce liver aerobic capacities in warm climate and thus, displayed a capacity for temperature acclimation.</t>
  </si>
  <si>
    <t>Alfred Wegener Inst Polar &amp; Marine Res, D-27570 Bremerhaven, Germany</t>
  </si>
  <si>
    <t>Helmholtz Association; Alfred Wegener Institute, Helmholtz Centre for Polar &amp; Marine Research</t>
  </si>
  <si>
    <t>Lannig, G (corresponding author), Alfred Wegener Inst Polar &amp; Marine Res, Handelshafen 12, D-27570 Bremerhaven, Germany.</t>
  </si>
  <si>
    <t>glannig@awi-bremerhaven.de</t>
  </si>
  <si>
    <t>Lannig, Gisela/D-5793-2017; Pörtner, Hans-O./ISU-9397-2023; Pörtner, Hans-O./K-9429-2016</t>
  </si>
  <si>
    <t>Pörtner, Hans-O./0000-0001-6535-6575; Lannig, Gisela/0000-0002-9210-256X; Storch, Daniela/0000-0003-3090-7554</t>
  </si>
  <si>
    <t>SPRINGER</t>
  </si>
  <si>
    <t>NEW YORK</t>
  </si>
  <si>
    <t>233 SPRING STREET, NEW YORK, NY 10013 USA</t>
  </si>
  <si>
    <t>0722-4060</t>
  </si>
  <si>
    <t>POLAR BIOL</t>
  </si>
  <si>
    <t>Polar Biol.</t>
  </si>
  <si>
    <t>10.1007/s00300-005-0730-9</t>
  </si>
  <si>
    <t>Biodiversity Conservation; Ecology</t>
  </si>
  <si>
    <t>Biodiversity &amp; Conservation; Environmental Sciences &amp; Ecology</t>
  </si>
  <si>
    <t>940WG</t>
  </si>
  <si>
    <t>Green Submitted</t>
  </si>
  <si>
    <t>WOS:000230176000001</t>
  </si>
  <si>
    <t>Bushula, T; Pakhomov, EA; Kaehler, S; Davis, S; Kalin, RM</t>
  </si>
  <si>
    <t>Diet and daily ration of two nototheniid fish on the shelf of the sub-Antarctic Prince Edward Islands</t>
  </si>
  <si>
    <t>SHRIMP NAUTICARIS-MARIONIS; SOUTHERN-OCEAN; FEEDING ECOLOGY; FOOD-WEB; DELTA-N-15; DELTA-C-13</t>
  </si>
  <si>
    <t>The seasonal dietary composition and estimates of daily consumption rate of Lepidonotothen larseni and Gobionotothen marionensis juveniles were obtained for the first time using fish collected near sub-Antarctic Prince Edward Islands during April 1999-2003. The diet of L. larseni consisted mainly of pelagic prey, with copepods and arrow worms making up the most significant prey groups and accounting for 46% and 40% of prey mass, respectively. The diet of G. marionensis was more diverse than that of L. larseni and was composed mainly of benthic prey, including bottom-dwelling decapods (Nauticaris marionis) and sedentary polychaetes, which accounted for 54% and 30% of prey mass, respectively. During the present study, dietary overlap between juveniles of L. larseni and G. marionensis was very low (&lt; 5%) indicating that competition for food resources between them was negligible. They not only relied on different prey species, both also exhibited different diel feeding regimes. Daily consumption rate of L. larseni and G. marionensis juveniles was estimated to be 4.5% and 5.2% of body dry mass, respectively. Stomach contents and stable isotope analyses suggested, that both L. larseni and G. marionensis occupy the forth-trophic level of the sub-Antarctic food web but depend mainly on allochthonous and autochthonous (kelp derived) organic matter, respectively.</t>
  </si>
  <si>
    <t>Univ Ft Hare, Fac Sci &amp; Technol, Dept Zool, ZA-5700 Alice, South Africa; Univ British Columbia, Dept Earth &amp; Ocean Sci, Vancouver, BC V6T 1Z4, Canada; Rhodes Univ, Dept Zool &amp; Entomol, Coastal Res Grp, ZA-6140 Grahamstown, South Africa; Queens Univ Belfast, Environm Engn Res Ctr, Belfast, Antrim, North Ireland</t>
  </si>
  <si>
    <t>University of Fort Hare; University of British Columbia; Rhodes University; Queens University Belfast</t>
  </si>
  <si>
    <t>Univ Ft Hare, Fac Sci &amp; Technol, Dept Zool, Private Bag X1314, ZA-5700 Alice, South Africa.</t>
  </si>
  <si>
    <t>epakhomov@eos.ubc.ca</t>
  </si>
  <si>
    <t>Kalin, Robert/E-8620-2011</t>
  </si>
  <si>
    <t>Kalin, Robert/0000-0003-3768-3848</t>
  </si>
  <si>
    <t>233 SPRING ST, NEW YORK, NY 10013 USA</t>
  </si>
  <si>
    <t>1432-2056</t>
  </si>
  <si>
    <t>10.1007/s00300-005-0729-2</t>
  </si>
  <si>
    <t>WOS:000230176000002</t>
  </si>
  <si>
    <t>Bernard, KS; Froneman, PW</t>
  </si>
  <si>
    <t>Trophodynamics of selected mesozooplankton in the west-Indian sector of the Polar Frontal Zone, Southern Ocean</t>
  </si>
  <si>
    <t>PRINCE-EDWARD-ISLANDS; AUSTRAL SUMMER 1997/1998; EASTERN ATLANTIC SECTOR; DIEL FEEDING PATTERNS; GRAZING IMPACT; COMMUNITY STRUCTURE; SUBTROPICAL CONVERGENCE; ZOOPLANKTON STRUCTURE; COPEPOD COMMUNITY; CROZET BASIN</t>
  </si>
  <si>
    <t>Mesozooplankton community structure and grazing impact were investigated at 15 stations in the west-Indian sector of the Polar Frontal Zone during the third dynamics of Eddie impacts on Marion's ecosystem cruise, conducted during April 2004. An intense frontal feature, likely the convergence of the Sub-Antarctic and Antarctic Polar Fronts, was identified running in a north-eastward direction across the survey area. Total integrated chlorophyll-a (chl-a) biomass ranged from 4.15 mg m(-2) to 22.81 mg m(-2) and was dominated by picophytoplankton at all stations. Mesozooplankton abundances ranged from 163.84 ind m(-2) to 2,478.08 ind m(-2) and biomass between 6.70 mg Dwt. m(-2) and 23.40 mg Dwt. m(-2). The mesozooplankton community was dominated almost entirely by copepods, which contributed between 35% and 79% (mean=63%; SD=+/- 12%) of the total numbers. The pteropoda, Limacina retroversa, contributed up to 30% (mean=10%; SD=+/- 8%) of the total numbers. Numerical analysis identified two distinct mesozooplankton communities separated by the intense frontal feature, namely the Antarctic and the Sub-Antarctic Zone Groups. Ingestion rates of the four numerically dominant copepod species (Calanus simillimus, Clausocalanus spp., Ctenocalanus spp. and Oithona similis) and the pteropod, L. retroversa, were estimated using the gut fluorescence technique. Total grazing impact ranged from 0.156 mg (pigm) m(-2) to 2.958 mg (pigm) m(-2) or between 1% and 29% of the available chl-a per day. The four copepods contributed approximately 36% of the total daily grazing impact, while the pteropod contributed to a mean of 64%, indicating that this zooplankton group may play an important role in the Southern Ocean carbon cycle. In general, the highest daily grazing impact was exhibited in the Antarctic Zone Group (mean=12% phytoplankton standing stock per day).</t>
  </si>
  <si>
    <t>Rhodes Univ, Dept Zool &amp; Entomol, So Ocean Grp, ZA-6140 Grahamstown, South Africa</t>
  </si>
  <si>
    <t>Rhodes University</t>
  </si>
  <si>
    <t>Rhodes Univ, Dept Zool &amp; Entomol, So Ocean Grp, POB 94, ZA-6140 Grahamstown, South Africa.</t>
  </si>
  <si>
    <t>g97b3042@campus.ru.ac.za</t>
  </si>
  <si>
    <t>Froneman, William/C-9085-2012; Bernard, Kim S/J-2703-2013; Froneman, William/GLS-0460-2022</t>
  </si>
  <si>
    <t>Froneman, William/0000-0003-0615-1355</t>
  </si>
  <si>
    <t>10.1007/s00300-005-0728-3</t>
  </si>
  <si>
    <t>WOS:000230176000003</t>
  </si>
  <si>
    <t>Bouchard, JN; Roy, S; Ferreyra, G; Campbell, DA; Curtosi, A</t>
  </si>
  <si>
    <t>Ultraviolet-B effects on photosystem II efficiency of natural phytoplankton communities from Antarctica</t>
  </si>
  <si>
    <t>TEMPERATE MARINE-PHYTOPLANKTON; SCOTIA CONFLUENCE AREA; OZONE DEPLETION; UV-RADIATION; CHLOROPHYLL FLUORESCENCE; PHOTOSYNTHESIS; PHOTOINHIBITION; LIGHT; DAMAGE; REPAIR</t>
  </si>
  <si>
    <t>The impact of UVB on the Antarctic phytoplankton photosystem II repair cycle, involving the rapidly cycled D1 protein, was studied during summer 2002. On sunny and overcast days, phytoplankton (from 1-m depth) were exposed to natural light (+UVB) and Mylar-screened (-UVB) conditions. Half of the samples from each treatment were inoculated with lincomycin, an inhibitor of synthesis of chloroplast-encoded proteins including the D1 protein. Blocking D1 repair caused significant F-v/F-m depressions on sunny days but had not effect on the overcast day. Most of the F-v/F-m depression was caused by PAR and UVA with a non-significant contribution from UVB. In the presence of D1 repair, suppressing UVB had no effect on F-v/F-m when the samples originated from a weakly stratified water column with no defined upper mixed layer (UML) while it alleviated F-v/F-m depression when the phytoplankton samples originated from within an UML deeper than the depth of UVB penetration. These results suggest that UVB had more effect on the D1 repair process than on the damage process itself but that phytoplankton sensitivity to surface UVB exposure was influenced by their previous light history, partly determined by the vertical structure of the water column.</t>
  </si>
  <si>
    <t>Univ Quebec, ISMER, Rimouski, PQ G5L 3A1, Canada; Mt Allison Univ, Dept Biol, Sackville, NB E4L 1G7, Canada; Mt Allison Univ, Coastal Wetlands Inst, Sackville, NB E4L 1G7, Canada; Inst Antartico Argentino, RA-1010 Buenos Aires, DF, Argentina</t>
  </si>
  <si>
    <t>University of Quebec; Mount Allison University; Mount Allison University; Instituto Antartico Argentino</t>
  </si>
  <si>
    <t>Univ Quebec, ISMER, 310 Allee Ursulines,CP 3300, Rimouski, PQ G5L 3A1, Canada.</t>
  </si>
  <si>
    <t>suzanne_roy@uqar.qc.ca</t>
  </si>
  <si>
    <t>Campbell, Douglas A./B-3768-2010</t>
  </si>
  <si>
    <t>Campbell, Douglas A./0000-0001-8996-5463; Ferreyra, Gustavo Adolfo/0000-0003-1953-5067</t>
  </si>
  <si>
    <t>ONE NEW YORK PLAZA, SUITE 4600, NEW YORK, NY, UNITED STATES</t>
  </si>
  <si>
    <t>10.1007/s00300-005-0727-4</t>
  </si>
  <si>
    <t>WOS:000230176000004</t>
  </si>
  <si>
    <t>Bodley, K; Petel, TV; Gales, N</t>
  </si>
  <si>
    <t>Immobilisation of free-living Weddell seals Leptonychotes weddellii using midazolam and isoflurane</t>
  </si>
  <si>
    <t>SOUTHERN ELEPHANT SEALS; CHEMICAL RESTRAINT; MIROUNGA-LEONINA; ANESTHESIA; COMBINATIONS; SAFE</t>
  </si>
  <si>
    <t>Eleven lactating female Weddell seals were immobilised using inhaled isoflurane and oxygen, having initially been sedated using an intramuscular injection of midazolam. The seals were selected from colonies in Long Fjord, East Antarctica. Isoflurane was delivered using a precision, out-of-circle vaporiser in a portable, heated, semi-closed circle system anaesthetic machine. Induction time (time from injection of midazolam to detected maximal effect of midazolam) ranged from 12 min to 29 min. The maximal effect of midazolam was assessed as being either moderate sedation (n=9) or heavy sedation (n=2), and the maximal effect of inhaled isoflurane and oxygen was assessed as being light anaesthesia (n=11). The level of chemical restraint achieved using this combination allowed attachment of heart rate monitoring units and collection of biological samples. Recovery time ranged from 1 min to 11 min. The anaesthetic regime proved a practical, safe and reliable method for the immobilisation of lactating Weddell seals under conditions of low environmental temperature.</t>
  </si>
  <si>
    <t>Univ Tasmania, Sch Zool, Antarctic Wildlife Res Unit, Hobart, Tas 7001, Australia; Australian Antarctic Div, Human Impacts Res Program, Kingston, Tas 7050, Australia</t>
  </si>
  <si>
    <t>University of Tasmania; Australian Antarctic Division</t>
  </si>
  <si>
    <t>Petel, TV (corresponding author), Univ Tasmania, Sch Zool, Antarctic Wildlife Res Unit, GPO Box 252-05, Hobart, Tas 7001, Australia.</t>
  </si>
  <si>
    <t>tdvan@utas.edu.au</t>
  </si>
  <si>
    <t>10.1007/s00300-005-0725-6</t>
  </si>
  <si>
    <t>WOS:000230176000006</t>
  </si>
  <si>
    <t>Raso, JG; Manjón-Cabeza, M; Ramos, A; Olaso, I</t>
  </si>
  <si>
    <t>New record of Lithodidae (Crustacea Decapoda, Anomura) from the Antarctic (Bellingshausen Sea)</t>
  </si>
  <si>
    <t>LATITUDES</t>
  </si>
  <si>
    <t>During the Bentart-2003 Cruise, carried out during austral summer 2003 in the Bellingshausen Sea, three species of Lithodidae, Paralomis birsteini, Lithodes murrayi and Neolithodes capensis, were caught from 218 m to 1947 m. With these captures the presence of L. murrayi in Peter I Island is confirmed, the distribution area of N. capensis is greatly increased and the captures of N. capensis and P. birsteini represent the first lithodid record known from the Antarctic continental slope. Also, these records show large and discontinuous distributions, which illustrate that many distribution patterns of Antarctic species are more an artefact of limited studies than representing actual distribution.</t>
  </si>
  <si>
    <t>Univ Malaga, Fac Ciencias, Dept Biol Anim, E-29071 Malaga, Spain; Inst Espanol Oceanog, Malaga 29640, Spain; Inst Espanol Oceanog, Santander 39080, Spain</t>
  </si>
  <si>
    <t>Universidad de Malaga; Spanish Institute of Oceanography; Spanish Institute of Oceanography</t>
  </si>
  <si>
    <t>Raso, JG (corresponding author), Univ Malaga, Fac Ciencias, Dept Biol Anim, E-29071 Malaga, Spain.</t>
  </si>
  <si>
    <t>garciaraso@uma.es</t>
  </si>
  <si>
    <t>Manjón-Cabeza, M. Eugenia/L-1761-2014</t>
  </si>
  <si>
    <t>Manjón-Cabeza, M. Eugenia/0000-0002-4014-6763; Garcia Raso, Jose Enrique/0000-0003-3092-9518</t>
  </si>
  <si>
    <t>10.1007/s00300-005-0722-9</t>
  </si>
  <si>
    <t>WOS:000230176000008</t>
  </si>
  <si>
    <t>Kjær, KG</t>
  </si>
  <si>
    <t>Belgica in the Arctic</t>
  </si>
  <si>
    <t>POLAR RECORD</t>
  </si>
  <si>
    <t>Belgica, which Adrien de Gerlache used on the first expedition to winter in the Antarctic, was originally a bottlenose whaler named Patria, built in Norway in 1884. She was designed and constructed by Johan Chr. Jakobsen, renowned for his design of polar ships. Patria was sold to Adrien de Gerlache and renamed Belgica in 1896. In 1896-97 she was refitted and equipped in Sandefjord, Norway, for an Antarctic expedition. Nansen and Amundsen met for the first time on Belgica's deck. Late in 1899 Belgica returned to Antwerp after more than two years on an Antarctic expedition. From 1901 to 1904 Belgica returned to bottlenose whaling and, in addition, made a voyage to northeast Greenland to establish depots and build houses for the Baldwin-Ziegler Polar Expedition. In 1905 the Duc d'Orleans chartered her to survey the coast of northeast Greenland, and on her return he bought her. In 1907 and 1909 she sailed on Arctic expeditions led by the Duc d'Orleans and captained by de Gerlache. In 1916 she was sold to Det Norske Kulsyndikat and renamed Isfjord. She became a freighter carrying coal from Longyearbyen to ports in northern Norway. In 1918 she was sold and her new owner converted her into a floating cod-liver oil refinery and fish-processing plant. In 1940 she was impounded by British forces and used as a floating ammunition depot. On 19 May 1940 she was sunk during a German air raid. Her wreck was re-discovered in 1990.</t>
  </si>
  <si>
    <t>Kjær, KG (corresponding author), Torbeinsund, N-9136 Vannareid, Norway.</t>
  </si>
  <si>
    <t>kkjaer@online.no</t>
  </si>
  <si>
    <t>CAMBRIDGE UNIV PRESS</t>
  </si>
  <si>
    <t>40 WEST 20TH ST, NEW YORK, NY 10011-4211 USA</t>
  </si>
  <si>
    <t>0032-2474</t>
  </si>
  <si>
    <t>POLAR REC</t>
  </si>
  <si>
    <t>POLAR REC.</t>
  </si>
  <si>
    <t>10.1017/S0032247405004420</t>
  </si>
  <si>
    <t>Ecology; Environmental Sciences</t>
  </si>
  <si>
    <t>Environmental Sciences &amp; Ecology</t>
  </si>
  <si>
    <t>960YR</t>
  </si>
  <si>
    <t>WOS:000231629600002</t>
  </si>
  <si>
    <t>Hodgson, DA; Verleyen, E; Sabbe, K; Squier, AH; Keely, BJ; Leng, MJ; Saunders, KM; Vyverman, W</t>
  </si>
  <si>
    <t>Late Quaternary climate-driven environmental change in the Larsemann Hills, East Antarctica, multi-proxy evidence from a lake sediment core</t>
  </si>
  <si>
    <t>QUATERNARY RESEARCH</t>
  </si>
  <si>
    <t>Antarctica paleolimnology; climate change; Larsemann Hills; Late Pleistocene; MIS5e; last glacial maximum; termination 1; antarctic cold reversal; Holocene</t>
  </si>
  <si>
    <t>DIATOM ASSEMBLAGES; VESTFOLD HILLS; SALINE LAKES; WINDMILL ISLANDS; FOSSIL PIGMENTS; MICROBIAL MATS; RAUER ISLANDS; PRYDZ BAY; ACE LAKE; ICE-FREE</t>
  </si>
  <si>
    <t>Little is known about the response of terrestrial East Antarctica to climate changes during the last glacial-interglacial cycle. Here we present a continuous sediment record from a lake in the Larsemann Hills, situated on a peninsula believed to have been ice-free for at least 40,000 yr. A mutli-proxy data set including geochronology, diatoms, pigments and carbonate stable isotopes indicates warmer and wetter conditions than present in the early part of the record. We interpret this as Marine Isotope Stage 5e after application of a chronological age-depth model and similar ice core evidence. Dry and cold conditions are inferred during the last glacial, with lake-level minima, floristic changes towards a shallow water algal community, and a greater biological receipt of ultraviolet radiation. During the Last Glacial Maximum and Termination I the lake was perennially ice-covered, with minimal snowmelt in the catchment. After ca. 10,500 cal yr B.P., the lake became seasonally moated or ice-free during summer. Despite a low accumulation rate, the sediments document some Holocene environmental changes including neoglacial cooling after ca. 2450 cal yr B.P., and a gradual increase in aridity and salinity to the present. (c) 2005 University of Washington. All rights reserved.</t>
  </si>
  <si>
    <t>British Antarctic Survey, NERC, Cambridge CB3 0ET, England; Univ Ghent, Lab Protisol &amp; Aquat Ecol, B-9000 Ghent, Belgium; Univ York, Dept Chem, York YO10 5DD, N Yorkshire, England; British Geol Survey, Isotope Geosci Lab, Natl Environm Res Council, Keyworth NG12 5GG, Notts, England; Univ Tasmania, Inst Antarctic &amp; So Ocean Studies, Hobart, Tas 7001, Australia</t>
  </si>
  <si>
    <t>UK Research &amp; Innovation (UKRI); Natural Environment Research Council (NERC); NERC British Antarctic Survey; Ghent University; University of York - UK; UK Research &amp; Innovation (UKRI); Natural Environment Research Council (NERC); NERC British Geological Survey; University of Tasmania</t>
  </si>
  <si>
    <t>British Antarctic Survey, NERC, High Cross,Madingley Rd, Cambridge CB3 0ET, England.</t>
  </si>
  <si>
    <t>daho@pcmail.nerc-bas.ac.uk</t>
  </si>
  <si>
    <t>Dasseville, Renaat/B-3561-2010; Saunders, Krystyna/G-1368-2019</t>
  </si>
  <si>
    <t>Leng, Melanie/0000-0003-1115-5166; Saunders, Krystyna/0000-0002-6800-2630; Keely, Brendan John/0000-0002-8560-1862</t>
  </si>
  <si>
    <t>NERC [bas010001, nigl010001, bgs03002] Funding Source: UKRI; Natural Environment Research Council [bgs03002, bas010001] Funding Source: researchfish</t>
  </si>
  <si>
    <t>NERC(UK Research &amp; Innovation (UKRI)Natural Environment Research Council (NERC)); Natural Environment Research Council(UK Research &amp; Innovation (UKRI)Natural Environment Research Council (NERC))</t>
  </si>
  <si>
    <t>32 AVENUE OF THE AMERICAS, NEW YORK, NY 10013-2473 USA</t>
  </si>
  <si>
    <t>0033-5894</t>
  </si>
  <si>
    <t>1096-0287</t>
  </si>
  <si>
    <t>QUATERNARY RES</t>
  </si>
  <si>
    <t>Quat. Res.</t>
  </si>
  <si>
    <t>10.1016/j.yqres.2005.04.002</t>
  </si>
  <si>
    <t>Geography, Physical; Geosciences, Multidisciplinary</t>
  </si>
  <si>
    <t>Physical Geography; Geology</t>
  </si>
  <si>
    <t>948NQ</t>
  </si>
  <si>
    <t>WOS:000230723100008</t>
  </si>
  <si>
    <t>Morgan, V</t>
  </si>
  <si>
    <t>A new Southern Hemisphere climate clock</t>
  </si>
  <si>
    <t>QUATERNARY SCIENCE REVIEWS</t>
  </si>
  <si>
    <t>Editorial Material</t>
  </si>
  <si>
    <t>LAST GLACIAL PERIOD; GREENLAND</t>
  </si>
  <si>
    <t>Australian Antarctic Div, Hobart, Tas 7001, Australia; Antarctic Climate &amp; Ecosyst Cooperat Res Ctr, Hobart, Tas 7001, Australia</t>
  </si>
  <si>
    <t>Australian Antarctic Division; Antarctic Climate &amp; Ecosystems Cooperative Research Centre (ACE CRC)</t>
  </si>
  <si>
    <t>Morgan, V (corresponding author), Australian Antarctic Div, Private Bag 80, Hobart, Tas 7001, Australia.</t>
  </si>
  <si>
    <t>vin.morgan@utas.edu.au</t>
  </si>
  <si>
    <t>PERGAMON-ELSEVIER SCIENCE LTD</t>
  </si>
  <si>
    <t>OXFORD</t>
  </si>
  <si>
    <t>THE BOULEVARD, LANGFORD LANE, KIDLINGTON, OXFORD OX5 1GB, ENGLAND</t>
  </si>
  <si>
    <t>0277-3791</t>
  </si>
  <si>
    <t>QUATERNARY SCI REV</t>
  </si>
  <si>
    <t>Quat. Sci. Rev.</t>
  </si>
  <si>
    <t>12-13</t>
  </si>
  <si>
    <t>10.1016/j.quascirev.2005.04.001</t>
  </si>
  <si>
    <t>933PZ</t>
  </si>
  <si>
    <t>WOS:000229646700001</t>
  </si>
  <si>
    <t>Brook, EJ; White, JWC; Schilla, ASM; Bender, ML; Barnett, B; Severinghaus, JP; Taylor, KC; Alley, RB; Steig, EJ</t>
  </si>
  <si>
    <t>Timing of millennial-scale climate change at Siple Dome, West Antarctica, during the last glacial period</t>
  </si>
  <si>
    <t>GREENLAND ICE-CORES; POLAR ICE; ATMOSPHERIC METHANE; DEUTERIUM EXCESS; OXYGEN-ISOTOPE; RAPID CHANGES; TRAPPED AIR; RECORDS; MODEL; FIRN</t>
  </si>
  <si>
    <t>Using atmospheric methane and the isotopic composition of O-2 as correlation tools, we place the 6D record of ice from the Siple Dome (West Antarctica) ice core on a precise common chronology with the GISP2 (Greenland) ice core for the period from 9 to 57 ka. The onset of major millennial warming events in Siple Dome preceded major abrupt warmings in Greenland, and the pattern of millennial change at Siple Dome was broadly similar, though not identical, to that previously observed for the Byrd ice core (also in West Antarctica). The addition of Siple Dome to the database of well-dated Antarctic paleoclimate records supports the case for a coherent regional pattern of millennial-scale climate change in Antarctica during much of the last ice age and glacial-interglacial transition.</t>
  </si>
  <si>
    <t>Oregon State Univ, Dept Geosci, Corvallis, OR 97331 USA; Univ Colorado, INSTAAR, Boulder, CO 80309 USA; Princeton Univ, Dept Geosci, Princeton, NJ 08544 USA; Univ Calif San Diego, Scripps Inst Oceanog, La Jolla, CA 92093 USA; Univ Nevada, Desert Res Inst, Reno, NV 89511 USA; Penn State Univ, Inst Environm, University Pk, PA 16802 USA; Penn State Univ, Dept Geosci, University Pk, PA 16802 USA; Univ Washington, Dept Earth &amp; Space Sci, Quaternary Res Ctr, Seattle, WA 98195 USA</t>
  </si>
  <si>
    <t>Oregon State University; University of Colorado System; University of Colorado Boulder; Princeton University; University of California System; University of California San Diego; Scripps Institution of Oceanography; Nevada System of Higher Education (NSHE); University of Nevada Reno; Desert Research Institute NSHE;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t>
  </si>
  <si>
    <t>Brook, EJ (corresponding author), Oregon State Univ, Dept Geosci, Corvallis, OR 97331 USA.</t>
  </si>
  <si>
    <t>brooke@geo.oregonstate.edu</t>
  </si>
  <si>
    <t>Brook, Edward/AAB-7807-2021; White, James W.C./A-7845-2009; Taylor, Kendrick/A-3469-2016; /G-9088-2015</t>
  </si>
  <si>
    <t>Taylor, Kendrick/0000-0001-8535-1261; /0000-0002-8191-5549</t>
  </si>
  <si>
    <t>10.1016/j.quascirev.2005.02.002</t>
  </si>
  <si>
    <t>WOS:000229646700002</t>
  </si>
  <si>
    <t>Licht, KJ; Lederer, JR; Swope, RJ</t>
  </si>
  <si>
    <t>Provenance of LGM glacial till (sand fraction) across the Ross embayment, Antarctica</t>
  </si>
  <si>
    <t>CENTRAL TRANSANTARCTIC MOUNTAINS; PLEISTOCENE-HOLOCENE RETREAT; ICE-SHEET SYSTEM; VOLCANIC EDIFICES; RIFT SYSTEM; SEA-LEVEL; HISTORY; MAXIMUM; CONSTRAINTS; REMOVAL</t>
  </si>
  <si>
    <t>The provenance of Late Quaternary Ross Embayment till was investigated by comparing the coarse sand composition of East and West Antarctic source area tills with till samples from across the Ross Sea. The West Antarctic samples from beneath the Whillans (B) and Kamb (C) ice streams are petrologically distinct from samples of lateral moraines flanking several East Antarctic outlet glaciers. The characteristic assemblage of four West Antarctic samples includes felsic intrusive and detrital sedimentary lithic fragments, plagioclase and abundant quartz. In contrast, most of the ten East Antarctic till samples contains abundant malic intrusive and detrital sedimentary lithic fragments as well as less abundant quartz. The distinctive composition of these source areas can be linked to 33 samples from 20 cores of Last Glacial Maximum (LGM) age till distributed across the Ross Sea. Western Ross Sea till samples exhibit mineralogic and lithological similarities to East Antarctic till samples, although these western Ross Sea tills contain higher percentages of fielsic intrusive and extrusive lithic fragments. Eastern Ross Sea till samples are compositionally similar to West Antarctic till, particularly in their abundance of quartz and dearth of mafic and extrusive lithic components. Central Ross Sea till exhibits compositional similarities to both East and West Antarctic source terranes including a mafic lithic component, and marks the confluence of ice draining from East and West Antarctica during the LGM, thus West Antarctic-derived ice streams did not advance into the western Ross Sea. This indicates that even if pre-LGM equivalents of the present Siple Coast ice streams existed, they did not simply expand allowing West Antarctic-derived ice to dominate the LGM Ross Ice Sheet. (c) 2005 Elsevier Ltd. All rights reserved.</t>
  </si>
  <si>
    <t>Indiana Univ Purdue Univ, Dept Geol, Indianapolis, IN 46202 USA</t>
  </si>
  <si>
    <t>Indiana University System; Indiana University-Purdue University Indianapolis</t>
  </si>
  <si>
    <t>Licht, KJ (corresponding author), Indiana Univ Purdue Univ, Dept Geol, Indianapolis, IN 46202 USA.</t>
  </si>
  <si>
    <t>klicht@iupui.edu</t>
  </si>
  <si>
    <t>Licht, Kathy/0000-0002-2233-2853</t>
  </si>
  <si>
    <t>10.1016/j.quascirev.2004.10.017</t>
  </si>
  <si>
    <t>WOS:000229646700011</t>
  </si>
  <si>
    <t>Hinojosa, LF</t>
  </si>
  <si>
    <t>Climatic and vegetational changes inferred from Cenozoic Southern South America paleoflora.</t>
  </si>
  <si>
    <t>REVISTA GEOLOGICA DE CHILE</t>
  </si>
  <si>
    <t>Spanish</t>
  </si>
  <si>
    <t>paleoclimate; paleoflora; Cenozoic; Southern South America; Chile; Argentina; Bolivia</t>
  </si>
  <si>
    <t>PALEOPRECIPITATION INDICATORS; EOCENE EXAMPLE; FOSSIL LEAVES; TERTIARY; HISTORY; FLORA; PALEOCLIMATE; CHARACTERS; PALEOGENE; FORESTS</t>
  </si>
  <si>
    <t>Climatic and vegetational changes inferred from Cenozoic Southern Southamerica paleoflora. A reconstruction of the continental climate of southern South America, based on physiognomic analyses of fifteen taphofloras, coming mainly from Chile and Argentina, is presented here. Based on the climate estimates and the phytogeographical composition of the Cenozoic paleofloras analyzed, the succession of four new Paleofloras is proposed: Gondwanic: Subtropical Gondwanic; Mixed and Subtropical Neogene Paleoflora. The results indicate that these paleofloras are, at least, related with three major paleoclimatic scenarios: 1- Paleocene/Eocene, warm and humid tropical conditions, associated with both Gondwanic and Subtropic Gondwanic Paleofloras; 2- a climate shift towards temperate-drier conditions at the end of the Eocene and early Oligocene, related with the cold global event of the Eocene Oligocene boundary (as a consequence of the onset of Antarctic glaciation). Time where Mixed Paleoflloras dominated. and 3- finally, a warm and humid event again occurred during the Miocene, during this time, mean annual temperature was 6-9degreesC warmer than for the previous period. This warm event is related with the mid Miocene climatic optimum and it is characterized by the development of Neogene Subtropical Paleoflora.</t>
  </si>
  <si>
    <t>Univ Chile, Lab Ecol &amp; Sistemat Vegetal, Dept Ecol, Fac Ciencias, Santiago, Chile</t>
  </si>
  <si>
    <t>Universidad de Chile</t>
  </si>
  <si>
    <t>Univ Chile, Lab Ecol &amp; Sistemat Vegetal, Dept Ecol, Fac Ciencias, Casilla 653, Santiago, Chile.</t>
  </si>
  <si>
    <t>Ifhinojosa@abello.dic.uchile.cl</t>
  </si>
  <si>
    <t>Hinojosa, Luis Felipe/A-7599-2008; Hinojosa, Luis Felipe/J-7557-2017</t>
  </si>
  <si>
    <t>Hinojosa, Luis Felipe/0000-0001-5646-649X</t>
  </si>
  <si>
    <t>SERVICIO NACIONAL GEOLOGIA MINERVA</t>
  </si>
  <si>
    <t>SANTIAGO</t>
  </si>
  <si>
    <t>AVDA SANTA MARIO 0104, CASILLA 10465, SANTIAGO, CHILE</t>
  </si>
  <si>
    <t>0716-0208</t>
  </si>
  <si>
    <t>REV GEOL CHILE</t>
  </si>
  <si>
    <t>Rev. Geol. Chile</t>
  </si>
  <si>
    <t>Geology</t>
  </si>
  <si>
    <t>893HQ</t>
  </si>
  <si>
    <t>WOS:000226710300006</t>
  </si>
  <si>
    <t>Gallego, OF; Martins-Neto, RG; Nielsen, SN</t>
  </si>
  <si>
    <t>Conchostracans and insects from the Upper Triassic of the Biobio river ('Santa Juana Formation'), south-central Chile</t>
  </si>
  <si>
    <t>conchostraca; insects; Upper Triassic; Chile</t>
  </si>
  <si>
    <t>ATACAMA</t>
  </si>
  <si>
    <t>Fossil arthropods from Upper Triassic outcrops along the Biobfo river, south-central Chile, are reported in this paper: Two species of the order Coleoptera, Ademosyne sp., and Ischichucasyne santajuanaensis gen. et sp. nov. (Permosynidae) are described for the first time for the Triassic of Chile. The conchostracans Menucoestheria terneraensis Gallego and Polygrapta troncosoi (Gallego) comb. nov., are re-examined based on newly.,collected specimens and scanning electron microscope photographs. A close relation between M. temeraensis and Argentinean and Antarctic species is postulated, with the possibility that Menucoestheria evolved from Euestheria Deperet y Mazeran. Menucoestheria could be the origin of all other Gondwanic eosestherids. The use of Menucoestheria and Polygrapta as fossil guides for continental levels of the Upper Triassic of Argentina and Chile is tentatively proposed. The reported entomofauna, which exhibits close affinities with the Argentinean entomofauna, sharing, for example, the genera Ademosyne and Ischichucasyne, broadens our knowledge of South American arthropod diversity during the Triassic. The presence of the homopteran dysmorphoptilid Bandelnielsenia Martins-Neto and Gallego, the most plesiomorphic of the South American forms, seems fundamental for an understanding of the phylogeny of this important Triassic group.</t>
  </si>
  <si>
    <t>Univ Nacl Nordeste, Fac Ciencias Exactal &amp; Nat &amp; Agrimensura, RA-3400 Corrientes, Argentina</t>
  </si>
  <si>
    <t>Gallego, OF (corresponding author), Univ Nacl Nordeste, Fac Ciencias Exactal &amp; Nat &amp; Agrimensura, Casilla Correo 128, RA-3400 Corrientes, Argentina.</t>
  </si>
  <si>
    <t>ofgallego@hotmail.com; martinsneto@terra.com.br; nielsen@zedat.fu-berlin.de</t>
  </si>
  <si>
    <t>Nielsen, Sven N/A-2187-2009</t>
  </si>
  <si>
    <t>Nielsen, Sven N/0000-0003-2064-8050</t>
  </si>
  <si>
    <t>951FG</t>
  </si>
  <si>
    <t>WOS:000230914000007</t>
  </si>
  <si>
    <t>Palinkas, LA; Mäkinen, TM; Pääkkönen, T; Rintamäki, H; Leppäluoto, J; Hassi, J</t>
  </si>
  <si>
    <t>Influence of seasonally adjusted exposure to cold and darkness on cognitive performance in circumpolar residents</t>
  </si>
  <si>
    <t>SCANDINAVIAN JOURNAL OF PSYCHOLOGY</t>
  </si>
  <si>
    <t>cognition; season; circumpolar; cold temperature; darkness; arousal</t>
  </si>
  <si>
    <t>PROLONGED ANTARCTIC RESIDENCE; AFFECTIVE-DISORDER; MODERATE COLD; REACTION-TIME; BODY-TEMPERATURE; HYPOTHERMIA; PREVALENCE; DEPRESSION; TASKS; WATER</t>
  </si>
  <si>
    <t>The effects of seasonally adjusted 24-h exposure to cold and darkness on cognitive performance in urban circumpolar residents was assessed in 15 male subjects who spent three 24-h periods in a climatic chamber at 65 degrees latitude during the winter (January-March) and/or summer (August-September). Each subject was exposed to three different environmental conditions in random order: (1) 22 degrees C temperature and 500 lx lighting; (2) 10 degrees C temperature and 500 lx lighting; and (3) 10 degrees C temperature and 0.5-l lx lighting. Accuracy on an addition-subtraction task was significantly greater in the summer than in the winter (p= 0.038), while accuracy on a repeated acquisition task was significantly greater in the winter than in the summer (p &lt; 0.001). Independent of season, exposure to cold and darkness was significantly associated with a decline in response time on five cognitive tests, an improvement in accuracy on three tests measuring complex cognitive tasks, and a decline in accuracy on two tests measuring simple tasks. Increased performance on complex tasks may result from increased arousal in response to the combination of cold temperatures and dim light characteristic of the winter in urban circumpolar settings.</t>
  </si>
  <si>
    <t>Univ Calif San Diego, Dept Family &amp; Prevent Med, La Jolla, CA 92093 USA; Univ Oulu, Thule Inst, Ctr Arctic Med, Oulu, Finland; Univ Oulu, Dept Physiol, Oulu, Finland; Oulu Reg Inst Occupat Hlth, Oulu, Finland</t>
  </si>
  <si>
    <t>University of California System; University of California San Diego; University of Oulu; University of Oulu</t>
  </si>
  <si>
    <t>Palinkas, LA (corresponding author), Univ Calif San Diego, Dept Family &amp; Prevent Med, 9500 Gilman Dr, La Jolla, CA 92093 USA.</t>
  </si>
  <si>
    <t>Lpalinkas@ucsd.edu</t>
  </si>
  <si>
    <t>Ikaheimo, Tiina Maria/0000-0002-2763-6004</t>
  </si>
  <si>
    <t>BLACKWELL PUBL LTD</t>
  </si>
  <si>
    <t>108 COWLEY RD, OXFORD OX4 1JF, OXON, ENGLAND</t>
  </si>
  <si>
    <t>0036-5564</t>
  </si>
  <si>
    <t>SCAND J PSYCHOL</t>
  </si>
  <si>
    <t>Scand. J. Psychol.</t>
  </si>
  <si>
    <t>10.1111/j.1467-9450.2005.00453.x</t>
  </si>
  <si>
    <t>Psychology, Multidisciplinary</t>
  </si>
  <si>
    <t>Social Science Citation Index (SSCI)</t>
  </si>
  <si>
    <t>Psychology</t>
  </si>
  <si>
    <t>916CA</t>
  </si>
  <si>
    <t>WOS:000228361800003</t>
  </si>
  <si>
    <t>Leane, E</t>
  </si>
  <si>
    <t>Locating the thing: The Antarctic as alien space in John W. Campbell's 'Who Goes There?'</t>
  </si>
  <si>
    <t>SCIENCE-FICTION STUDIES</t>
  </si>
  <si>
    <t>Many pulp sf writers of the early to mid-twentieth century seized upon Antarctica as an appropriately remote and unearthly site for their magazine stories. This article focuses on one of the most famous, John W. Campbell's Who Goes There?, first published in Astounding Science-Fiction in 1938 and adapted for film as The Thing in 1951 and 1982. In Campbell's tale, an Antarctic expedition is devastated by a monstrous alien creature found frozen in the ice. While Who Goes There? has often been the subject of critical interest, the significance of its location has not been explored in any detail. In this article, I show how a reading focused on space and place can find new meanings in this often-examined text. Drawing on Julia Kristeva's psychoanalytic theory of the abject, cultural geographer Yi-Fu Tuan's notion of alien space, and a number of fictional and nonfictional Antarctic narratives, I argue that the Thing at the center of Campbell's text serves as an embodiment of the continent itself.</t>
  </si>
  <si>
    <t>Univ Tasmania, Sch English Journalism &amp; European Languages, Hobart, Tas, Australia</t>
  </si>
  <si>
    <t>University of Tasmania</t>
  </si>
  <si>
    <t>Leane, E (corresponding author), Univ Tasmania, Sch English Journalism &amp; European Languages, Hobart, Tas, Australia.</t>
  </si>
  <si>
    <t>Leane, Elizabeth M/J-7138-2014</t>
  </si>
  <si>
    <t>Leane, Elizabeth/0000-0002-7954-6529</t>
  </si>
  <si>
    <t>GREENCASTLE</t>
  </si>
  <si>
    <t>DEPAUW UNIV, DEPT ROMANCE LANGUAGES, GREENCASTLE, IN 46135-0037 USA</t>
  </si>
  <si>
    <t>0091-7729</t>
  </si>
  <si>
    <t>SCI-FICTION STUD</t>
  </si>
  <si>
    <t>Sci.-Fict. Stud.</t>
  </si>
  <si>
    <t>Literature</t>
  </si>
  <si>
    <t>Arts &amp; Humanities Citation Index (A&amp;HCI)</t>
  </si>
  <si>
    <t>947BK</t>
  </si>
  <si>
    <t>WOS:000230617000001</t>
  </si>
  <si>
    <t>Mandea, M; Purucker, M</t>
  </si>
  <si>
    <t>Observing, modeling, and interpreting magnetic fields of the solid Earth</t>
  </si>
  <si>
    <t>SURVEYS IN GEOPHYSICS</t>
  </si>
  <si>
    <t>Review</t>
  </si>
  <si>
    <t>GEOMAGNETIC SECULAR VARIATION; GEOSTROPHIC FLOW; SATELLITE; CORE; MAGSAT; ANOMALIES; INVERSION; LENGTH; SCHA; TIME</t>
  </si>
  <si>
    <t>Many Earth system processes generate magnetic fields, either primary magnetic fields or in response to other magnetic fields. The largest of these magnetic fields is due to the dynamo in the Earth's core, and can be approximated by a geocentric axial dipole that has decayed by nearly 10% during the last 150 years. This is an order of magnitude faster than its natural decay time, a reflection of the growth of patches of reverse flux at the core-mantle boundary. The velocity of the North magnetic pole reached some 40 km/yr in 2001. This velocity is the highest recorded so far in the last two centuries. The second largest magnetic field in the solid Earth is caused by induced and remanent magnetization within the crust. Controlled in part by the thermo-mechanical properties of the crust, these fields contain signatures of tectonic processes currently active, and those active in the distant past. Recent work has included an estimate of the surface heat flux under the Antarctic ice cap. In order to understand the recent changes in the Earth's magnetic field, new high-quality measurements are needed to continue those being made by Orsted (launched in 1999), CHAMP and the Orsted-2 experiment onboard SAC-C (both launched in 2000). The present paper is motivated by the advent of space surveys of the geomagnetic field, and illustrates how our way of observing, modeling, and interpreting the Earth's magnetic field has changed in recent years due to the new magnetic satellite measurements.</t>
  </si>
  <si>
    <t>Inst Phys Globe, F-75005 Paris, France; NASA, Goddard Space Flight Ctr, Planetary Geodynam Lab, Raytheon ITSS, Greenbelt, MD 20771 USA</t>
  </si>
  <si>
    <t>Universite Paris Cite; National Aeronautics &amp; Space Administration (NASA); NASA Goddard Space Flight Center</t>
  </si>
  <si>
    <t>Geoforschungszentrum Potsdam, D-14473 Potsdam, Germany.</t>
  </si>
  <si>
    <t>mioara@ipgp.jussieu.fr</t>
  </si>
  <si>
    <t>MANDEA, Mioara/E-4892-2012</t>
  </si>
  <si>
    <t>MANDEA, Mioara/0000-0002-4300-981X</t>
  </si>
  <si>
    <t>DORDRECHT</t>
  </si>
  <si>
    <t>VAN GODEWIJCKSTRAAT 30, 3311 GZ DORDRECHT, NETHERLANDS</t>
  </si>
  <si>
    <t>0169-3298</t>
  </si>
  <si>
    <t>1573-0956</t>
  </si>
  <si>
    <t>SURV GEOPHYS</t>
  </si>
  <si>
    <t>Surv. Geophys.</t>
  </si>
  <si>
    <t>10.1007/s10712-005-3857-x</t>
  </si>
  <si>
    <t>Geochemistry &amp; Geophysics</t>
  </si>
  <si>
    <t>983QP</t>
  </si>
  <si>
    <t>WOS:000233247500001</t>
  </si>
  <si>
    <t>Hara, K; Osada, K; Kido, M; Matsunaga, K; Iwasaka, Y; Hashida, G; Yamanouchi, T</t>
  </si>
  <si>
    <t>Variations of constituents of individual sea-salt particles at Syowa station, Antarctica</t>
  </si>
  <si>
    <t>TELLUS SERIES B-CHEMICAL AND PHYSICAL METEOROLOGY</t>
  </si>
  <si>
    <t>MARINE BOUNDARY-LAYER; SEGREGATED AEROSOL COMPOSITION; METHANE SULFONIC-ACID; SEASONAL-VARIATIONS; DIMETHYL SULFONE; DRY DEPOSITION; SULFUR-DIOXIDE; SOUTHERN-OCEAN; CHEMISTRY; OXIDATION</t>
  </si>
  <si>
    <t>Sampling of atmospheric aerosol particles was carried out at Syowa station, Antarctica (39.58 degrees E, 69.00 degrees S) in 1998. For a better understanding of sea-salt chemistry in the coastal Antarctic regions, individual sea-salt particles were analysed using a scanning electron microscope equipped with energy dispersive X-ray spectrometer (SEM-EDX). Individual particle analysis indicates that more sea-salt particles were modified in fine particles (0.2-2 mu m in diameter) through heterogeneous reactions mainly with gaseous sulfur species in the summer and reactive nitrogen oxides in the winter-spring. In particular, sea-salt particles in the coastal Antarctic atmosphere may be modified by heterogeneous reactions with not only SO2 and H2SO4 but also volatile sulfur species (e.g. CH3SO3H, DMS and DMSO) derived from bioactivity on the ocean surface during the summer. Also, low air temperature and a larger extent of sea ice offshore Syowa probably enhanced release of fractionated sea-salt particles (S-rich, Mg-rich, K-rich and Ca-rich) from the surface of snow and sea ice, particularly in September-October 1998. In addition, we attempt to estimate the scavenging rate of atmospheric sulfur species and reactive nitrogen oxides by dry deposition of sea-salt particles. Our estimation suggests that the upper limit of the scavenging rate of atmospheric sulfur species by sea-salt particles could rise to approximately 0.5 nmol m(-2) day(-1) at Syowa station during the summer. This value corresponded to about 30% of the concentration of particulate sulfur species such as non-sea-salt (nss)-SO42- and CH3SO3- and similar to 10% of total atmospheric sulfur species (nss-SO42-, CH3SO3- and SO2). In contrast, the estimated NO3- scavenging rate by sea-salt particles was similar to 0.2 nmol m(-2) day(-1), which is similar to the dry deposition rate of HNO3+N2O5 (approximately 0.2-0.3 nmol m(-2) day(-1)). Hence, sea-salt particles probably play an important role as scavengers of acidic species in the coastal Antarctic regions.</t>
  </si>
  <si>
    <t>Natl Inst Polar Res, Tokyo, Japan; Nagoya Univ, Grad Sch, Nagoya, Aichi, Japan; Toyama Prefectural Environm Sci Res Ctr, Toyama, Japan</t>
  </si>
  <si>
    <t>Research Organization of Information &amp; Systems (ROIS); National Institute of Polar Research (NIPR) - Japan; Nagoya University; Toyama Prefectural University</t>
  </si>
  <si>
    <t>harakei@pmg.nipr.ac.jp</t>
  </si>
  <si>
    <t>Yamanouchi, Takashi/P-2041-2015; Osada, Kazuo/I-6395-2014; Hara, Keiichiro/N-8264-2018</t>
  </si>
  <si>
    <t>Osada, Kazuo/0000-0003-3100-5835; Hara, Keiichiro/0000-0001-7440-7776</t>
  </si>
  <si>
    <t>TAYLOR &amp; FRANCIS LTD</t>
  </si>
  <si>
    <t>ABINGDON</t>
  </si>
  <si>
    <t>2-4 PARK SQUARE, MILTON PARK, ABINGDON OR14 4RN, OXON, ENGLAND</t>
  </si>
  <si>
    <t>1600-0889</t>
  </si>
  <si>
    <t>TELLUS B</t>
  </si>
  <si>
    <t>Tellus Ser. B-Chem. Phys. Meteorol.</t>
  </si>
  <si>
    <t>10.1111/j.1600-0889.2005.00142.x</t>
  </si>
  <si>
    <t>Meteorology &amp; Atmospheric Sciences</t>
  </si>
  <si>
    <t>937YE</t>
  </si>
  <si>
    <t>WOS:000229961800006</t>
  </si>
  <si>
    <t>Malumián, N; Scarpa, R</t>
  </si>
  <si>
    <t>Foraminifers from the Irigoyen Formation, Neogene, Tierra del Fuego, Argentina:: Their paleobiogeographic significance</t>
  </si>
  <si>
    <t>AMEGHINIANA</t>
  </si>
  <si>
    <t>foraminifera; Neogene; Tierra del Fuego; paleobiogeography</t>
  </si>
  <si>
    <t>BENTHIC FORAMINIFERA; ISLAND; BASIN</t>
  </si>
  <si>
    <t>FORAMINIFERS FROM THE IRIGOYEN FORMATION, NEOGENE, TIERRA DEL FUEGO, ARGENTINA: THEIR PALEOBIOGEOGRAPHIC SIGNIFICANCE. Two shallow-water assemblages of benthic foraminifers of strong austral character are recognized in the Irigoyen Formation (Upper Miocene-Pliocene, Rio Irigoyen transtensive Basin, Atlantic coast of the Tierra del Fuego Island). The lower assemblage, dominated by Angulogerina angulosa fueguina (Malumian), is in general similar to the assemblage known from the Carmen Silva Formation; it contains Trochoelphidiella sp., previously described from the Antarctic Oligo-Miocene. The upper assemblage is dominated by Nonion hancocki Cushman and McCulloch, a species previously known only from the modern Peruvian coast, and contains frequent Cribrorotalia meridionalis (Cushman and Kellett), which is abundant from the Beagle channel up to the Peruvian coast as a living species, giving both species a Pacific aspect to the assemblage. This Pacific aspect, together with coincident morphoestructural features, suggest a direct shallow connection between the Atlantic and Pacific Oceans by means of a Pliocene paleochannel, here called the paleocanal de Hoces, similar to the modern Beagle channel. The Hoces paleochannel was running on the areas occupied now by depressions such as the Seno Almirantazgo, the Fagnano Lake and the Irigoyen Basin, related to the Magallanes-Fagnano fault.</t>
  </si>
  <si>
    <t>Serv Geol Minero Argentino, Buenos Aires, DF, Argentina; Consejo Nacl Invest Cient &amp; Tecn, RA-1033 Buenos Aires, DF, Argentina</t>
  </si>
  <si>
    <t>Consejo Nacional de Investigaciones Cientificas y Tecnicas (CONICET)</t>
  </si>
  <si>
    <t>Malumián, N (corresponding author), Serv Geol Minero Argentino, Benjamin Lavaisse 1194,C1107BJD, Buenos Aires, DF, Argentina.</t>
  </si>
  <si>
    <t>malumian@mpgeo1.gov.ar</t>
  </si>
  <si>
    <t>ASOCIACION PALEONTOLOGICA ARGENTINA</t>
  </si>
  <si>
    <t>BUENOS AIRES</t>
  </si>
  <si>
    <t>MAIPU 645, 1ER PISO, 1006 BUENOS AIRES, ARGENTINA</t>
  </si>
  <si>
    <t>0002-7014</t>
  </si>
  <si>
    <t>Ameghiniana</t>
  </si>
  <si>
    <t>JUN 30</t>
  </si>
  <si>
    <t>Paleontology</t>
  </si>
  <si>
    <t>958WO</t>
  </si>
  <si>
    <t>WOS:000231479100008</t>
  </si>
  <si>
    <t>Butzin, M; Prange, M; Lohmann, G</t>
  </si>
  <si>
    <t>Radiocarbon simulations for the glacial ocean: The effects of wind stress, Southern Ocean sea ice and Heinrich events</t>
  </si>
  <si>
    <t>EARTH AND PLANETARY SCIENCE LETTERS</t>
  </si>
  <si>
    <t>paleoceanography; ocean circulation; radiocarbon; Heinrich events</t>
  </si>
  <si>
    <t>NORTH-ATLANTIC; THERMOHALINE CIRCULATION; ATMOSPHERIC RADIOCARBON; VENTILATION RATES; YOUNGER DRYAS; PACIFIC-OCEAN; C-14 AGES; MAXIMUM; SENSITIVITY; SAMPLES</t>
  </si>
  <si>
    <t>Simulations of oceanic radiocarbon for the Last Glacial Maximum are presented, using a three-dimensional global ocean circulation model forced with glacial background states according to various reconstructions. We investigate the influence of sea surface temperatures, sea ice margins, wind stress and Antarctic sea ice formation on the glacial tracer distribution and meridional overturning circulation. The aim of these sensitivity studies is to reconcile available radiocarbon data from marine sediments with reconstructed sea surface temperatures and estimated sea ice production rates. Model runs with a modified freshwater balance in the Southern Ocean, mimicking increased brine release due to enhanced divergence of Antarctic sea ice, arrive at radiocarbon values close to observations. These experiments also yield abyssal temperatures and salinities which are consistent with recent inferences. In the simulation with the best agreement with radiocarbon observations, North Atlantic Deep Water export is reduced by 40% compared to present day, while Antarctic Bottom Water flow is intensified to similar strength in the South Atlantic. Transient simulations show that glacial freshwater discharge into the North Atlantic can cause abrupt increases of atmospheric radiocarbon as observed during Heinrich event 1. However, the effect is only significant in scenarios with a massive short-time discharge at the beginning which is followed by low-level freshwater input for the rest of the event, or if it is assumed that the meridional overturning circulation was already in a modem operational mode. (c) 2005 Elsevier B.V. All rights reserved.</t>
  </si>
  <si>
    <t>Univ Bremen, Dept Geosci, D-28334 Bremen, Germany; Univ Bremen, DFG Res Ctr Ocean Margins, D-28334 Bremen, Germany; Alfred Wegener Inst Polar &amp; Marine Res, D-27515 Bremerhaven, Germany</t>
  </si>
  <si>
    <t>University of Bremen; University of Bremen; German Research Foundation (DFG); Helmholtz Association; Alfred Wegener Institute, Helmholtz Centre for Polar &amp; Marine Research</t>
  </si>
  <si>
    <t>Univ Bremen, Dept Geosci, POB 33 04 40, D-28334 Bremen, Germany.</t>
  </si>
  <si>
    <t>mbutzm@marum.de</t>
  </si>
  <si>
    <t>Lohmann, Gerrit/M-7453-2016</t>
  </si>
  <si>
    <t>Lohmann, Gerrit/0000-0003-2089-733X; Butzin, Martin/0000-0002-9275-7304; Prange, Matthias/0000-0001-5874-756X</t>
  </si>
  <si>
    <t>ELSEVIER</t>
  </si>
  <si>
    <t>AMSTERDAM</t>
  </si>
  <si>
    <t>RADARWEG 29, 1043 NX AMSTERDAM, NETHERLANDS</t>
  </si>
  <si>
    <t>0012-821X</t>
  </si>
  <si>
    <t>1385-013X</t>
  </si>
  <si>
    <t>EARTH PLANET SC LETT</t>
  </si>
  <si>
    <t>Earth Planet. Sci. Lett.</t>
  </si>
  <si>
    <t>1-2</t>
  </si>
  <si>
    <t>10.1016/j.epsl.2005.03.003</t>
  </si>
  <si>
    <t>946OQ</t>
  </si>
  <si>
    <t>WOS:000230582200004</t>
  </si>
  <si>
    <t>Maia, M; Dyment, J; Jouannetaud, D</t>
  </si>
  <si>
    <t>Constraints on age and construction process of the Foundation chain submarine volcanoes from magnetic modeling</t>
  </si>
  <si>
    <t>intraplate volcanism; seamount magnetism; hotspot; seamount ages; ridge-hotspot interactions</t>
  </si>
  <si>
    <t>PACIFIC-ANTARCTIC RIDGE; CURRENT PLATE VELOCITIES; MID-ATLANTIC RIDGE; SEAMOUNT MAGNETISM; JASPER SEAMOUNT; OCEANIC-CRUST; POLAR WANDER; PALEOMAGNETISM; INTRAPLATE; ANOMALIES</t>
  </si>
  <si>
    <t>The interaction between the Foundation hotspot and the Pacific-Antarctic Ridge (South Pacific) is one of the two known cases where a ridge is approaching a hotspot. This ridge-hotspot relative movement results in a change in the morphology of the volcanoes along the chain as the age of the lithosphere at the time of edifice formation progressively diminishes. Four hundred kilometers west of the Pacific-Antarctic Ridge axis, volcanism is distributed along two sub-parallel lines of volcanoes, separated by distances diminishing from similar to 100 kin at the west to similar to 50 kin near the axis of the ridge. The magnetic anomalies mapped on this part of the chain show a pattern clearly dominated by the magnetic signature of the seamounts. The anomalies were forward modeled using a remanent magnetization of normal or reversed polarity within the volcano topography. The resulting pattern of normal and reversed magnetization is consistent with the intervals of the geomagnetic polarity time scale for the last 5 Ma. the age of the oldest studied volcano. These magnetic anomalies therefore represent an independent means of dating the volcanic edifices. The ages deduced from the modeling are consistent with the hypothesis of volcanoes built by a hotspot on the fast moving Pacific plate and are in good agreement with the published radiometric dates, although these dates tend to correspond to the late constructional stages of the edifices. The differences between magnetic and radiometric ages suggest that the average time span to build a volcano of the Foundation chain is about I million years, in agreement with other intraplate edifices. The difference between the magnetic ages of the seamounts and of the underlying crust, both deduced from the magnetic anomaly analysis, show that the ridge has approached the hotspot at a rate of 40 km/Ma. (c) 2005 Elsevier B.V. All rights reserved.</t>
  </si>
  <si>
    <t>Univ Bretagne Occidentale, CNRS, UMR 6538, Domaines Ocean,IUEM, F-29280 Plouzane, France; CNRS, UMR 7097, Lab Geosci Marines, IPGP, F-75005 Paris, France</t>
  </si>
  <si>
    <t>Universite de Bretagne Occidentale; Institut Universitaire Europeen de la Mer (IUEM); Centre National de la Recherche Scientifique (CNRS); CNRS - National Institute for Earth Sciences &amp; Astronomy (INSU); Universite Paris Cite; Centre National de la Recherche Scientifique (CNRS)</t>
  </si>
  <si>
    <t>Univ Bretagne Occidentale, CNRS, UMR 6538, Domaines Ocean,IUEM, 1 Pl Nicolas Copern, F-29280 Plouzane, France.</t>
  </si>
  <si>
    <t>Marcia.Maia@univ-brest.fr; jdy@ipgp.jussieu.fr; Jouannetauddavid@aol.com</t>
  </si>
  <si>
    <t>Dyment, Jérôme/A-6788-2011; Maia, Marcia/A-7076-2010</t>
  </si>
  <si>
    <t>ELSEVIER SCIENCE BV</t>
  </si>
  <si>
    <t>PO BOX 211, 1000 AE AMSTERDAM, NETHERLANDS</t>
  </si>
  <si>
    <t>10.1016/j.epsl.2005.02.044</t>
  </si>
  <si>
    <t>WOS:000230582200013</t>
  </si>
  <si>
    <t>Van den Broeke, M; Van As, D; Reijmer, C; Van De Wal, R</t>
  </si>
  <si>
    <t>Sensible heat exchange at the antarctic snow surface: A study with automatic weather stations</t>
  </si>
  <si>
    <t>INTERNATIONAL JOURNAL OF CLIMATOLOGY</t>
  </si>
  <si>
    <t>heat exchange; snow surface; Antarctica; energy balance</t>
  </si>
  <si>
    <t>DRONNING MAUD LAND; ATMOSPHERIC BOUNDARY-LAYER; ENERGY-BALANCE; MASS-BALANCE; EAST ANTARCTICA; BLOWING SNOW; BLUE ICE; SPATIAL VARIABILITY; SCALAR ROUGHNESS; CLIMATOLOGY</t>
  </si>
  <si>
    <t>Data of four automatic weather stations (AWSs) are used to calculate the turbulent exchange of sensible heat at the Antarctic snow surface for a 4 year period (1998-2001). The AWSs are situated on the ice shelf, in the coastal/inland katabatic wind zone and on the interior plateau in Dronning Maud Land, East Antarctica. Sensible heat flux (SHF) is calculated using the aerodynamic 'bulk' method between a single AWS sensor level and the surface, in combination with surface temperature derived from upwelling longwave radiation and surface roughness derived from eddy correlation measurements. Good agreement is found between calculated and directly measured SHF. All AWS sites show a downward-directed average sensible heat transport, but otherwise the differences between the various zones are large. The surface roughness for momentum differs by an order of magnitude between the interior plateau (0.02 mm) and the katabatic wind zone (0.16 mm). On the ice shelf, frequent clouds limit surface cooling, and annual mean SHF is small (8 W m(-2)). In contrast, clear skies prevail on the interior plateau, but weak winds, an aerodynamically smooth surface and stability effects limit annual mean SHF to an equally low value (8 W m-2). The most favourable conditions for sensible heat exchange are found in the katabatic wind zone, where a combination of strong winds, relatively little cloud cover and a rougher surface results in annual mean SHF values of 22 to 24 W m-2. Copyright (c) 2005 Royal Meteorological Society.</t>
  </si>
  <si>
    <t>Univ Utrecht, Inst Marine &amp; Atmospher Res Utrecht, NL-3508 TA Utrecht, Netherlands</t>
  </si>
  <si>
    <t>Utrecht University</t>
  </si>
  <si>
    <t>Univ Utrecht, Inst Marine &amp; Atmospher Res Utrecht, POB 80005, NL-3508 TA Utrecht, Netherlands.</t>
  </si>
  <si>
    <t>broeke@phys.uu.nl</t>
  </si>
  <si>
    <t>van de wal, roderik/D-1705-2011; Reijmer, Carleen H/G-8736-2011; Van den Broeke, Michiel R./F-7867-2011</t>
  </si>
  <si>
    <t>van de wal, roderik/0000-0003-2543-3892; Reijmer, Carleen H/0000-0001-8299-3883; Van den Broeke, Michiel R./0000-0003-4662-7565; van As, Dirk/0000-0002-6553-8982</t>
  </si>
  <si>
    <t>WILEY</t>
  </si>
  <si>
    <t>HOBOKEN</t>
  </si>
  <si>
    <t>111 RIVER ST, HOBOKEN 07030-5774, NJ USA</t>
  </si>
  <si>
    <t>0899-8418</t>
  </si>
  <si>
    <t>1097-0088</t>
  </si>
  <si>
    <t>INT J CLIMATOL</t>
  </si>
  <si>
    <t>Int. J. Climatol.</t>
  </si>
  <si>
    <t>10.1002/joc.1152</t>
  </si>
  <si>
    <t>943BS</t>
  </si>
  <si>
    <t>WOS:000230327400004</t>
  </si>
  <si>
    <t>Turner, J; Colwell, SR; Marshall, GJ; Lachlan-Cope, TA; Carleton, AM; Jones, PD; Lagun, V; Reid, PA; Iagovkina, S</t>
  </si>
  <si>
    <t>Antarctic change during the last 50 years (vol 25, pg 279, 2005)</t>
  </si>
  <si>
    <t>Correction</t>
  </si>
  <si>
    <t>Jones, Philip Douglas/C-8718-2009</t>
  </si>
  <si>
    <t>Jones, Philip Douglas/0000-0001-5032-5493</t>
  </si>
  <si>
    <t>JOHN WILEY &amp; SONS LTD</t>
  </si>
  <si>
    <t>CHICHESTER</t>
  </si>
  <si>
    <t>THE ATRIUM, SOUTHERN GATE, CHICHESTER PO19 8SQ, W SUSSEX, ENGLAND</t>
  </si>
  <si>
    <t>10.1002/joc.1212</t>
  </si>
  <si>
    <t>WOS:000230327400008</t>
  </si>
  <si>
    <t>Balbinot, L; Smichowski, P; Farias, S; Arruda, MAZ; Vodopivez, C; Poppi, RJ</t>
  </si>
  <si>
    <t>Classification of Antarctic algae by applying Kohonen neural network with 14 elements determined by inductively coupled plasma optical emission spectrometry</t>
  </si>
  <si>
    <t>SPECTROCHIMICA ACTA PART B-ATOMIC SPECTROSCOPY</t>
  </si>
  <si>
    <t>Article; Proceedings Paper</t>
  </si>
  <si>
    <t>8th Rio Symposium on Atomic Spectrometry</t>
  </si>
  <si>
    <t>AUG 01-06, 2004</t>
  </si>
  <si>
    <t>Paraty, BRAZIL</t>
  </si>
  <si>
    <t>Antarctic algae; Kohonen neural; chemometrics; ICPOES</t>
  </si>
  <si>
    <t>ATOMIC-ABSORPTION-SPECTROMETRY; MACRO ALGAE; FLUORESCENCE; METALS; MAPS</t>
  </si>
  <si>
    <t>Optical emission spectrometers can generate results, which sometimes are not easy to interpret, mainly when the analyses involve classifications. To make simultaneous data interpretation possible, the Kohonen neural network is used to classify different Antarctic algae according to their taxonomic groups from the determination of 14 analytes. The Kohonen neural network architecture used was 5 x 5 neurons, thus reducing 14-dimension input data to two-dimensional space. The input data were 14 analytes (As, Co, Cu, Fe, Mn, Sr, Zn, Cd, Cr, Mo, Ni, Pb, Se, V) with their concentrations, determined by inductively coupled plasma optical emission spectrometry in I I different species of algae. Three taxonomic groups (Rhodophyta, Phaeophyta and Cholorophyta) can be differentiated and classified through only their Cu content. (c) 2005 Elsevier B.V All rights reserved.</t>
  </si>
  <si>
    <t>UNICAMP, Dept Quim Analit, Inst Quim, BR-13083971 Campinas, SP, Brazil; Ctr Atom Constituyentes, Unidad Actividad Quim, Comis Nacl Energia Atom, RA-1650 San Martin, BA, Argentina; Inst Antartico Argentino, RA-1248 Buenos Aires, DF, Argentina</t>
  </si>
  <si>
    <t>Universidade Estadual de Campinas; Comision Nacional de Energia Atomica (CNEA); Instituto Antartico Argentino</t>
  </si>
  <si>
    <t>UNICAMP, Dept Quim Analit, Inst Quim, POB 6154, BR-13083971 Campinas, SP, Brazil.</t>
  </si>
  <si>
    <t>ronei@iqm.unicamp.br</t>
  </si>
  <si>
    <t>Poppi, Ronei/V-4886-2019; Arruda, Marco Aurélio Zezzi/W-9203-2019; Poppi, Ronei/C-1559-2012; Arruda, Marco A Z/C-3705-2015</t>
  </si>
  <si>
    <t>Poppi, Ronei/0000-0003-2994-0787; Arruda, Marco A Z/0000-0002-7058-3390</t>
  </si>
  <si>
    <t>0584-8547</t>
  </si>
  <si>
    <t>SPECTROCHIM ACTA B</t>
  </si>
  <si>
    <t>Spectroc. Acta Pt. B-Atom. Spectr.</t>
  </si>
  <si>
    <t>SI</t>
  </si>
  <si>
    <t>10.1016/j.sab.2005.03.005</t>
  </si>
  <si>
    <t>Spectroscopy</t>
  </si>
  <si>
    <t>Science Citation Index Expanded (SCI-EXPANDED); Conference Proceedings Citation Index - Science (CPCI-S)</t>
  </si>
  <si>
    <t>938SC</t>
  </si>
  <si>
    <t>WOS:000230022200023</t>
  </si>
  <si>
    <t>de Angelis, M; Morel-Fourcade, MC; Barnola, JM; Susini, J; Duval, P</t>
  </si>
  <si>
    <t>Brine micro-droplets and solid inclusions in accreted ice from Lake Vostok (East Antarctica)</t>
  </si>
  <si>
    <t>GEOPHYSICAL RESEARCH LETTERS</t>
  </si>
  <si>
    <t>Lake Vostok, the largest Antarctic sub-glacial lake (14,000 km(2)), lies beneath nearly 4 km of ice. Sub-glacial geophysical observations and studies of ice accreting at the lake-glacier interface are the only means available to obtain information on the environment and dynamics of this huge water body formed several million years ago. Accretion ice has been studied using high-resolution synchrotron X-Ray micro-fluorescence. For the first time, liquid brine micro-droplets (3-10 mu m) are observed, coexisting with large irregular sulfur-rich aggregates (10-800 mm) containing gases and a mixture of very fine particles. Most of these objects are sequestered inside large crystals that grew slowly after ice formation. Their structure and composition support the existence of hydrothermal activity at the lake bottom and the occurrence of haline water pulses carrying fine solid debris and eventually biota from a deeper evaporitic reservoir into the lake.</t>
  </si>
  <si>
    <t>CNRS, LGGE, F-38042 Grenoble, France; European Synchrotron Radiat Facil, F-38043 Grenoble, France</t>
  </si>
  <si>
    <t>Centre National de la Recherche Scientifique (CNRS); Communaute Universite Grenoble Alpes; Universite Grenoble Alpes (UGA); European Synchrotron Radiation Facility (ESRF)</t>
  </si>
  <si>
    <t>CNRS, LGGE, BP96, F-38042 Grenoble, France.</t>
  </si>
  <si>
    <t>ange@lgge.obs.ujf-grenoble.fr</t>
  </si>
  <si>
    <t>Susini, Jean/HKV-4998-2023; Jack, Christopher/B-7926-2014; Hewitson, Bruce C/B-3295-2014</t>
  </si>
  <si>
    <t>Jack, Christopher/0000-0002-0936-7277; Morel, Marie-Christine/0000-0001-8975-2492</t>
  </si>
  <si>
    <t>AMER GEOPHYSICAL UNION</t>
  </si>
  <si>
    <t>WASHINGTON</t>
  </si>
  <si>
    <t>2000 FLORIDA AVE NW, WASHINGTON, DC 20009 USA</t>
  </si>
  <si>
    <t>0094-8276</t>
  </si>
  <si>
    <t>1944-8007</t>
  </si>
  <si>
    <t>GEOPHYS RES LETT</t>
  </si>
  <si>
    <t>Geophys. Res. Lett.</t>
  </si>
  <si>
    <t>JUN 29</t>
  </si>
  <si>
    <t>L12501</t>
  </si>
  <si>
    <t>10.1029/2005GL024460</t>
  </si>
  <si>
    <t>Geosciences, Multidisciplinary</t>
  </si>
  <si>
    <t>945CP</t>
  </si>
  <si>
    <t>Bronze</t>
  </si>
  <si>
    <t>WOS:000230479700001</t>
  </si>
  <si>
    <t>[Anonymous]</t>
  </si>
  <si>
    <t>Antarctic vehicle wheels in</t>
  </si>
  <si>
    <t>PROFESSIONAL ENGINEERING</t>
  </si>
  <si>
    <t>PROFESSIONAL ENGINEERING PUBLISHING LTD</t>
  </si>
  <si>
    <t>BURY ST EDMUNDS</t>
  </si>
  <si>
    <t>NORTHGATE AVENUE, BURY ST EDMUNDS IP32 6BW, SUFFOLK, ENGLAND</t>
  </si>
  <si>
    <t>0953-6639</t>
  </si>
  <si>
    <t>PROF ENG</t>
  </si>
  <si>
    <t>Prof. Eng.</t>
  </si>
  <si>
    <t>Engineering, Mechanical</t>
  </si>
  <si>
    <t>Engineering</t>
  </si>
  <si>
    <t>943QZ</t>
  </si>
  <si>
    <t>WOS:000230370500056</t>
  </si>
  <si>
    <t>Calbó, J; Pagès, D; González, JA</t>
  </si>
  <si>
    <t>Empirical studies of cloud effects on UV radiation:: A review -: art. no. RG2002</t>
  </si>
  <si>
    <t>REVIEWS OF GEOPHYSICS</t>
  </si>
  <si>
    <t>SOLAR ULTRAVIOLET-RADIATION; SPECTRAL IRRADIANCE; SURFACE UV; EARTHS SURFACE; ERYTHEMAL UV; OZONE DEPLETION; ACTINIC FLUX; B IRRADIANCE; ANTARCTIC PENINSULA; SKIN-CANCER</t>
  </si>
  <si>
    <t>The interest in solar ultraviolet ( UV) radiation from the scientific community and the general population has risen significantly in recent years because of the link between increased UV levels at the Earth's surface and depletion of ozone in the stratosphere. As a consequence of recent research, UV radiation climatologies have been developed, and effects of some atmospheric constituents ( such as ozone or aerosols) have been studied broadly. Correspondingly, there are well-established relationships between, for example, total ozone column and UV radiation levels at the Earth's surface. Effects of clouds, however, are not so well described, given the intrinsic difficulties in properly describing cloud characteristics. Nevertheless, the effect of clouds cannot be neglected, and the variability that clouds induce on UV radiation is particularly significant when short timescales are involved. In this review we show, summarize, and compare several works that deal with the effect of clouds on UV radiation. Specifically, works reviewed here approach the issue from the empirical point of view: Some relationship between measured UV radiation in cloudy conditions and cloud-related information is given in each work. Basically, there are two groups of methods: techniques that are based on observations of cloudiness ( either from human observers or by using devices such as sky cameras) and techniques that use measurements of broadband solar radiation as a surrogate for cloud observations. Some techniques combine both types of information. Comparison of results from different works is addressed through using the cloud modification factor ( CMF) defined as the ratio between measured UV radiation in a cloudy sky and calculated radiation for a cloudless sky. Typical CMF values for overcast skies range from 0.3 to 0.7, depending both on cloud type and characteristics. Despite this large dispersion of values corresponding to the same cloud cover, it is clear that the cloud effect on UV radiation is 15-45% lower than the cloud effect on total solar radiation. The cloud effect is usually a reducing effect, but a significant number of works report an enhancement effect ( that is increased UV radiation levels at the surface) due to the presence of clouds. The review concludes with some recommendations for future studies aimed to further analyze the cloud effects on UV radiation.</t>
  </si>
  <si>
    <t>Univ Giron, Dept Fis, Girona, Spain; Univ Giron, Inst Medi Ambient, Girona, Spain</t>
  </si>
  <si>
    <t>Universitat de Girona; Universitat de Girona</t>
  </si>
  <si>
    <t>Univ Giron, Dept Fis, Campus Montilivi,EPS-II, Girona, Spain.</t>
  </si>
  <si>
    <t>josep.calbo@udg.es</t>
  </si>
  <si>
    <t>Calbo, Josep/K-2462-2014; González, Josep-Abel/L-9032-2014</t>
  </si>
  <si>
    <t>Calbo, Josep/0000-0002-9374-0790;</t>
  </si>
  <si>
    <t>8755-1209</t>
  </si>
  <si>
    <t>1944-9208</t>
  </si>
  <si>
    <t>REV GEOPHYS</t>
  </si>
  <si>
    <t>Rev. Geophys.</t>
  </si>
  <si>
    <t>RG2002</t>
  </si>
  <si>
    <t>10.1029/2004RG000155</t>
  </si>
  <si>
    <t>945EB</t>
  </si>
  <si>
    <t>Bronze, Green Published</t>
  </si>
  <si>
    <t>WOS:000230483800001</t>
  </si>
  <si>
    <t>French, WJR; Burns, GB; Espy, PJ</t>
  </si>
  <si>
    <t>Anomalous winter hydroxyl temperatures at 69°S during 2002 in a multiyear context -: art. no. L12818</t>
  </si>
  <si>
    <t>ANTARCTICA; MESOSPHERE; MIDDLE; WAVES; DAVIS; THERMOSPHERE; CIRCULATION; ATMOSPHERE; TRENDS</t>
  </si>
  <si>
    <t>Hydroxyl airglow temperatures measured over Davis station, Antarctica ( 68 degrees S, 78 degrees E) in 2002 are compared to an 8-year climatological mean. The 2002 winter average temperature was 5.1 +/- 0.8K warmer than the climatological mean. This anomaly is a factor of two larger than what can be attributed to solar flux increases. Of the 210 nightly averages obtained, 72 (34%) exceeded the climatological maximum, primarily in two unusually warm intervals in late-May to early-June and in mid-July. An unusually cold interval ( 10 nights below the climatological minimum) coincided with a climatological dip in mid-August. Temperature oscillations of 15 - 20 K amplitude, extending over 4 cycles across the Sep - Oct stratospheric warming correlate with Rothera temperatures and Davis mesospheric winds and are consistent with a 14-day westward propagating zonal planetary wave number 1.</t>
  </si>
  <si>
    <t>Australian Antarctic Div, Kingston, Tas 7050, Australia; British Antarctic Survey, Cambridge CB3 0ET, England</t>
  </si>
  <si>
    <t>Australian Antarctic Division; UK Research &amp; Innovation (UKRI); Natural Environment Research Council (NERC); NERC British Antarctic Survey</t>
  </si>
  <si>
    <t>Australian Antarctic Div, Channel Highway, Kingston, Tas 7050, Australia.</t>
  </si>
  <si>
    <t>john.french@aad.gov.au</t>
  </si>
  <si>
    <t>French, John/0000-0001-9305-6190</t>
  </si>
  <si>
    <t>JUN 28</t>
  </si>
  <si>
    <t>L12818</t>
  </si>
  <si>
    <t>10.1029/2004GL022287</t>
  </si>
  <si>
    <t>945CN</t>
  </si>
  <si>
    <t>WOS:000230479500001</t>
  </si>
  <si>
    <t>Pavlov, AA; Mills, MJ; Toon, OB</t>
  </si>
  <si>
    <t>Mystery of the volcanic mass-independent sulfur isotope fractionation signature in the Antarctic ice core</t>
  </si>
  <si>
    <t>ATMOSPHERE; MODEL</t>
  </si>
  <si>
    <t>We simulate the record of sulfur mass-independent fractionation (MIF) in sulfates found in the Antarctic ice cores from the 1991 eruption of Mt. Pinatubo. Discovery of MIF in sulfur isotopes in Archean/Early Proterozoic sediments and lack of MIF in sulfur in younger rocks placed a strict upper limit on the amount of oxidants and oxygen in the ancient Earth's atmosphere prior to 2.3 Gyr ago. However, recent measurements in ice cores suggest that some non-zero MIF in sulfate can be delivered to Antarctica following large volcanic eruptions. Current photochemical experiments do not identify the specific reaction responsible for sulfur MIF production. Here we show that a time-dependent non-zero sulfur MIF can be delivered to the ground in the present atmosphere if the MIF - producing process is SO3 photolysis. Fractionation from such photolysis has not been considered before, but is consistent with the available experimental data.</t>
  </si>
  <si>
    <t>Univ Colorado, Atmospher &amp; Space Phys Lab, Boulder, CO 80309 USA</t>
  </si>
  <si>
    <t>University of Colorado System; University of Colorado Boulder</t>
  </si>
  <si>
    <t>Pavlov, AA (corresponding author), Univ Colorado, Atmospher &amp; Space Phys Lab, 392 UCB, Boulder, CO 80309 USA.</t>
  </si>
  <si>
    <t>pavlov@lasp.colorado.edu</t>
  </si>
  <si>
    <t>Pavlov, Alexander A./F-3779-2012; Mills, Michael/B-5068-2010</t>
  </si>
  <si>
    <t>Pavlov, Alexander A./0000-0001-8771-1646; Mills, Michael/0000-0002-8054-1346</t>
  </si>
  <si>
    <t>L12816</t>
  </si>
  <si>
    <t>10.1029/2005GL022784</t>
  </si>
  <si>
    <t>WOS:000230479500004</t>
  </si>
  <si>
    <t>Santee, ML; Manney, GL; Livesey, NJ; Froidevaux, L; MacKenzie, IA; Pumphrey, HC; Read, WG; Schwartz, MJ; Waters, JW; Harwood, RS</t>
  </si>
  <si>
    <t>Polar processing and development of the 2004 Antarctic ozone hole: First results from MLS on Aura</t>
  </si>
  <si>
    <t>UARS; VORTEX; MODEL; HCL; MCMURDO; CLO</t>
  </si>
  <si>
    <t>The Microwave Limb Sounder (MLS) on Aura is providing an extensive data set on stratospheric winter polar processing, including the first daily global observations of HCl, together with simultaneous measurements of ClO, HNO3, H2O, O-3, N2O, and temperature ( among others). We present first results charting the evolution of these quantities during the 2004 Antarctic late winter. MLS observations of chlorine deactivation and ozone loss during this period are shown to be consistent with results from the SLIMCAT chemical transport model.</t>
  </si>
  <si>
    <t>CALTECH, Jet Prop Lab, Pasadena, CA 91109 USA; Univ Edinburgh, Sch Geosci, Edinburgh EH9 3JZ, Midlothian, Scotland; New Mexico Highlands Univ, Dept Nat Sci, Las Vegas, NM 87701 USA</t>
  </si>
  <si>
    <t>California Institute of Technology; National Aeronautics &amp; Space Administration (NASA); NASA Jet Propulsion Laboratory (JPL); University of Edinburgh</t>
  </si>
  <si>
    <t>Santee, ML (corresponding author), CALTECH, Jet Prop Lab, Mail Stop 183-701,4800 Oak Grove Dr, Pasadena, CA 91109 USA.</t>
  </si>
  <si>
    <t>mls@mls.jpl.nasa.gov</t>
  </si>
  <si>
    <t>mackenzie, ian a/E-9320-2013; Pumphrey, Hugh/S-2969-2019; Livesey, Nathaniel/AGQ-7257-2022; Santee, MIchelle/R-5762-2019; read, william/AAL-1895-2021; Manney, Gloria/JED-7207-2023; Schwartz, Michael J/F-5172-2016</t>
  </si>
  <si>
    <t>Pumphrey, Hugh/0000-0003-0747-1457;</t>
  </si>
  <si>
    <t>L12817</t>
  </si>
  <si>
    <t>10.1029/2005GL022582</t>
  </si>
  <si>
    <t>Green Published, Bronze</t>
  </si>
  <si>
    <t>WOS:000230479500003</t>
  </si>
  <si>
    <t>Woodworth, PL; Pugh, DT; Meredith, MP; Blackman, DL</t>
  </si>
  <si>
    <t>Sea level changes at Port Stanley, Falkland Islands</t>
  </si>
  <si>
    <t>JOURNAL OF GEOPHYSICAL RESEARCH-OCEANS</t>
  </si>
  <si>
    <t>GLACIAL ISOSTATIC-ADJUSTMENT; ICE-4G VM2 MODEL; TIDE-GAUGE DATA; SOUTH-AMERICA; DRAKE PASSAGE; MALVINAS CURRENT; ANNULAR MODE; OCEAN; TOPEX/POSEIDON; OSCILLATIONS</t>
  </si>
  <si>
    <t>Time series of sea level change at Port Stanley present a rich spectrum of variability from seiches, tides, and storm surges through to the seasonal, interannual, and secular changes of interest to ocean circulation and climate change studies. This paper emphasizes the strategic importance of the Port Stanley sea level station within a global sea level network through analysis of the decade-length tide gauge records from Port Stanley itself, together with sets of data from a series of temporary tide gauge deployments at several other locations in East Falkland. The characteristics of seiches and of tidal, storm surge, and mean sea level variability are described, and the frequency of extreme sea level events is determined. Port Stanley sea level variability is shown to be inverse barometer like'' over a wide range of frequencies, although with a significant dependence on the local wind field and an intriguing association with the distant tropical Pacific wind field. Altimeter and tide gauge data in combination demonstrate that the sea level variability is representative of much of the Patagonian shelf and neighboring deep ocean. Consequently, Port Stanley is an ideal site to include within a global network for the purpose of altimeter calibration. The utility of Port Stanley data for monitoring variability in the Falkland-Malvinas Current and Antarctic Circumpolar Current is explored. Port Stanley possesses one of the longest records from a Southern Hemisphere island which indicates an upward sea level secular trend (adjusted for station air pressure) of 0.70 +/- 0.18 ( statistical) +/- 0.25 ( systematic) mm/yr since 1964.</t>
  </si>
  <si>
    <t>Proudman Oceonog Lab, Liverpool L3 5DA, Merseyside, England</t>
  </si>
  <si>
    <t>NERC National Oceanography Centre</t>
  </si>
  <si>
    <t>Proudman Oceonog Lab, Joseph Proudman Bldg,6 Brownlow St, Liverpool L3 5DA, Merseyside, England.</t>
  </si>
  <si>
    <t>plw@pol.ac.uk</t>
  </si>
  <si>
    <t>Woodworth, Philip/0000-0002-6681-239X; Meredith, Michael/0000-0002-7342-7756</t>
  </si>
  <si>
    <t>2169-9275</t>
  </si>
  <si>
    <t>2169-9291</t>
  </si>
  <si>
    <t>J GEOPHYS RES-OCEANS</t>
  </si>
  <si>
    <t>J. Geophys. Res.-Oceans</t>
  </si>
  <si>
    <t>C6</t>
  </si>
  <si>
    <t>C06013</t>
  </si>
  <si>
    <t>10.1029/2004JC002648</t>
  </si>
  <si>
    <t>Oceanography</t>
  </si>
  <si>
    <t>945DN</t>
  </si>
  <si>
    <t>WOS:000230482100002</t>
  </si>
  <si>
    <t>Williams, T; Handwerger, D</t>
  </si>
  <si>
    <t>A high-resolution record of early Miocene Antarctic glacial history from ODP Site 1165, Prydz Bay</t>
  </si>
  <si>
    <t>PALEOCEANOGRAPHY</t>
  </si>
  <si>
    <t>ICE-SHEET; LATE OLIGOCENE; CONTINENTAL-MARGIN; ROSS SEA; SEDIMENTATION; CALIBRATION; CLIMATE; OCEAN; VARIABILITY; ATLANTIC</t>
  </si>
  <si>
    <t>ODP Site 1165, located 400 km northwest of Prydz Bay, contains a high-resolution early Miocene record of pulses of ice-rafted debris (IRD) originating from the ancestral Lambert Glacier system and the Antarctic coast to the east. The 520 m of early Miocene sediments consist of dark gray claystone with silt laminae (contourites) alternating with decimeter-scale layers of greenish-gray bioturbated claystone that commonly contain ice-rafted debris. Downhole logs also record the alternations between the two facies: the IRD-bearing greenish-grey claystone corresponds to high resistivity and density values because of increased cementation by silica, and corresponds to lower natural gamma radiation values because of diluted clay content. The downhole logs thus allow a continuous and detailed stratigraphic record of the IRD-bearing layers to be obtained. The IRD-bearing layers represent deglaciations and interglacials, when a high flux of icebergs with incorporated material were melting out over the site; the contourite-rich layers represent glacials, when the Polar Current over the site was relatively strong. The sequence is dated by magnetostratigraphy, and the timing of the major IRD pulses is paced by orbital eccentricity, indicating that the volume of the East Antarctic ice sheet also fluctuates on this timescale. After 19.7 Ma, minor precessional and subprecessional IRD layers appear in the record, indicating that the ice sheet becomes more prone to deglaciation through this interval, perhaps associated with the gradual warming trend through the early Miocene.</t>
  </si>
  <si>
    <t>Columbia Univ, Lamont Doherty Earth Observ, Borehole Res Grp, Palisades, NY 10964 USA; Univ Utah, Dept Geol &amp; Geophys, Salt Lake City, UT 84112 USA</t>
  </si>
  <si>
    <t>Columbia University; Utah System of Higher Education; University of Utah</t>
  </si>
  <si>
    <t>Columbia Univ, Lamont Doherty Earth Observ, Borehole Res Grp, 61 Route 9W, Palisades, NY 10964 USA.</t>
  </si>
  <si>
    <t>trevor@ldeo.columbia.edu; dahandwe@mines.utah.edu</t>
  </si>
  <si>
    <t>0883-8305</t>
  </si>
  <si>
    <t>1944-9186</t>
  </si>
  <si>
    <t>Paleoceanography</t>
  </si>
  <si>
    <t>PA2017</t>
  </si>
  <si>
    <t>10.1029/2004PA001067</t>
  </si>
  <si>
    <t>Geosciences, Multidisciplinary; Oceanography; Paleontology</t>
  </si>
  <si>
    <t>Geology; Oceanography; Paleontology</t>
  </si>
  <si>
    <t>945DX</t>
  </si>
  <si>
    <t>WOS:000230483200001</t>
  </si>
  <si>
    <t>van den Broeke, M</t>
  </si>
  <si>
    <t>Strong surface melting preceded collapse of Antarctic Peninsula ice shelf</t>
  </si>
  <si>
    <t>ANNULAR MODE; RETREAT; TEMPERATURE; VARIABILITY; OSCILLATION; SUMMER; TRENDS; SEA</t>
  </si>
  <si>
    <t>[ 1] During the austral summer of 2001/02, melting at the surface of Larsen Ice Shelf in the Antarctic Peninsula was three times greater than the average of five previous summers. This exceptional melt event lasted for three months and was followed by the collapse of Larsen B Ice Shelf, during which 3,200 km 2 of ice shelf surface was lost. The strong melting was caused by a persistent atmospheric circulation anomaly, which depleted sea ice concentrations in front of Larsen Ice Shelf and transported warm air to the ice shelf throughout the 2001/02 summer. This supports the theory that large meltwater fluxes accelerate the retreat of Antarctic Peninsula ice shelves.</t>
  </si>
  <si>
    <t>Univ Utrecht, Inst Marine &amp; Atmospher Res, NL-3508 TA Utrecht, Netherlands</t>
  </si>
  <si>
    <t>Univ Utrecht, Inst Marine &amp; Atmospher Res, POB 80005, NL-3508 TA Utrecht, Netherlands.</t>
  </si>
  <si>
    <t>Van den Broeke, Michiel R./F-7867-2011</t>
  </si>
  <si>
    <t>Van den Broeke, Michiel R./0000-0003-4662-7565</t>
  </si>
  <si>
    <t>JUN 25</t>
  </si>
  <si>
    <t>L12815</t>
  </si>
  <si>
    <t>10.1029/2005GL023247</t>
  </si>
  <si>
    <t>940UB</t>
  </si>
  <si>
    <t>WOS:000230169900005</t>
  </si>
  <si>
    <t>Vaughan, DG</t>
  </si>
  <si>
    <t>How does the antarctic ice sheet affect sea level rise?</t>
  </si>
  <si>
    <t>SCIENCE</t>
  </si>
  <si>
    <t>WEST ANTARCTICA; PINE ISLAND; GLACIER</t>
  </si>
  <si>
    <t>British Antarctic Survey, NERC, Cambridge CB3 0ET, England</t>
  </si>
  <si>
    <t>UK Research &amp; Innovation (UKRI); Natural Environment Research Council (NERC); NERC British Antarctic Survey</t>
  </si>
  <si>
    <t>Vaughan, DG (corresponding author), British Antarctic Survey, NERC, Madingley Rd, Cambridge CB3 0ET, England.</t>
  </si>
  <si>
    <t>dgv@bas.ac.uk</t>
  </si>
  <si>
    <t>Vaughan, David/C-8348-2011</t>
  </si>
  <si>
    <t>Vaughan, David/0000-0002-9065-0570</t>
  </si>
  <si>
    <t>AMER ASSOC ADVANCEMENT SCIENCE</t>
  </si>
  <si>
    <t>1200 NEW YORK AVE, NW, WASHINGTON, DC 20005 USA</t>
  </si>
  <si>
    <t>0036-8075</t>
  </si>
  <si>
    <t>Science</t>
  </si>
  <si>
    <t>JUN 24</t>
  </si>
  <si>
    <t>10.1126/science.1114670</t>
  </si>
  <si>
    <t>Multidisciplinary Sciences</t>
  </si>
  <si>
    <t>Science &amp; Technology - Other Topics</t>
  </si>
  <si>
    <t>940BZ</t>
  </si>
  <si>
    <t>WOS:000230120000029</t>
  </si>
  <si>
    <t>Davis, CH; Li, YH; McConnell, JR; Frey, MM; Hanna, E</t>
  </si>
  <si>
    <t>Snowfall-driven growth in East Antarctic ice sheet mitigates recent sea-level rise</t>
  </si>
  <si>
    <t>ELEVATION CHANGE; MASS-BALANCE</t>
  </si>
  <si>
    <t>Satellite radar altimetry measurements indicate that the East Antarctic ice-sheet interior north of 81.6 degrees S increased in mass by 45 +/- 7 billion metric tons per year from 1992 to 2003. Comparisons with contemporaneous meteorological model snowfall estimates suggest that the gain in mass was associated with increased precipitation. A gain of this magnitude is enough to slow sea-level rise by 0.12 +/- 0.02 millimeters per year.</t>
  </si>
  <si>
    <t>Univ Missouri, Dept Elect &amp; Comp Engn, Columbia, MO 65211 USA; Univ &amp; Community Coll Syst Nevada, Desert Res Inst, Reno, NV 89512 USA; Univ Arizona, Dept Hydrol &amp; Water Resources, Tucson, AZ 85721 USA; Univ Sheffield, Dept Geog, Sheffield S10 2TN, S Yorkshire, England</t>
  </si>
  <si>
    <t>University of Missouri System; University of Missouri Columbia; Nevada System of Higher Education (NSHE); Desert Research Institute NSHE; University of Arizona; University of Sheffield</t>
  </si>
  <si>
    <t>Univ Missouri, Dept Elect &amp; Comp Engn, Columbia, MO 65211 USA.</t>
  </si>
  <si>
    <t>davisch@missouri.edu</t>
  </si>
  <si>
    <t>Hanna, Edward/H-2219-2016; Hanna, Edward/W-5927-2019; Frey, Markus/G-1756-2012</t>
  </si>
  <si>
    <t>Hanna, Edward/0000-0002-8683-182X; Hanna, Edward/0000-0002-8683-182X; Frey, Markus/0000-0003-0535-0416</t>
  </si>
  <si>
    <t>1095-9203</t>
  </si>
  <si>
    <t>10.1126/science.1110662</t>
  </si>
  <si>
    <t>WOS:000230120000037</t>
  </si>
  <si>
    <t>Manney, GL; Santee, ML; Livesey, NJ; Froidevaux, L; Read, WG; Pumphrey, HC; Waters, JW; Pawson, S</t>
  </si>
  <si>
    <t>EOS Microwave Limb Sounder observations of the Antarctic polar vortex breakup in 2004</t>
  </si>
  <si>
    <t>SOUTHERN-HEMISPHERE; STRATOSPHERE; DYNAMICS; AIR</t>
  </si>
  <si>
    <t>[ 1] New observations from the Microwave Limb Sounder ( MLS) on NASA's Aura satellite give a detailed picture of the spring Antarctic polar vortex breakup throughout the stratosphere, with the first daily global HCl profiles providing an unprecedentedly clear view of transport in the lower stratosphere. Poleward transport at progressively lower levels, filamentation, and mixing are detailed in MLS HCl, N2O, H2O, and O-3 as the 2004 Antarctic vortex broke up from the top down in early October through late December. Improved MLS H2O data show the subvortex, below the tropical tropopause, breaking up almost simultaneously with the lower stratospheric vortex in December. Vortex remnants persisted in MLS tracers for over a month after the breakup in the midstratosphere, but no more than a week in the lower stratosphere. MLS observations show diabatic descent continuing throughout November, but weak ascent after late October in the lower stratospheric vortex core. Our results extend previous observational transport studies and show consistency with mixing and vortex evolution in meteorological analyses, and with model studies.</t>
  </si>
  <si>
    <t>CALTECH, Jet Prop Lab, Pasadena, CA 91109 USA; New Mexico Highlands Univ, Dept Nat Sci, Las Vegas, NM 87701 USA; Univ Edinburgh, Edinburgh, Midlothian, Scotland; NASA, Goddard Space Flight Ctr, Greenbelt, MD 20771 USA</t>
  </si>
  <si>
    <t>California Institute of Technology; National Aeronautics &amp; Space Administration (NASA); NASA Jet Propulsion Laboratory (JPL); University of Edinburgh; National Aeronautics &amp; Space Administration (NASA); NASA Goddard Space Flight Center</t>
  </si>
  <si>
    <t>CALTECH, Jet Prop Lab, Mail Stop 183-701,4800 Oak Grove Dr, Pasadena, CA 91109 USA.</t>
  </si>
  <si>
    <t>manney@mls.jpl.nasa.gov</t>
  </si>
  <si>
    <t>Santee, MIchelle/R-5762-2019; Pumphrey, Hugh/S-2969-2019; Manney, Gloria/JED-7207-2023; read, william/AAL-1895-2021; Pawson, Steven/I-1865-2014; Livesey, Nathaniel/AGQ-7257-2022</t>
  </si>
  <si>
    <t>JUN 23</t>
  </si>
  <si>
    <t>L12811</t>
  </si>
  <si>
    <t>10.1029/2005GL022823</t>
  </si>
  <si>
    <t>940TZ</t>
  </si>
  <si>
    <t>Green Published, Green Submitted, Bronze</t>
  </si>
  <si>
    <t>WOS:000230169700006</t>
  </si>
  <si>
    <t>Yang, ES; Cunnold, DM; Newchurch, MJ; Salawitch, RJ</t>
  </si>
  <si>
    <t>Change in ozone trends at southern high latitudes</t>
  </si>
  <si>
    <t>ANTARCTIC OZONE; RECOVERY</t>
  </si>
  <si>
    <t>[ 1] Long-term ozone variations at 60-70 degrees S in spring are investigated using ground-based and satellite measurements. Strong positive correlation is shown between year-to-year variations of ozone and temperature in the Antarctic collar region in Septembers and Octobers. Based on this relationship, the effect of year-to-year variations in vortex dynamics has been filtered out. This process results in an ozone time series that shows increasing springtime ozone losses over the Antarctic until the mid-1990s. Since approximately 1997 the ozone losses have leveled off. The analysis confirms that this change is consistent across all instruments and is statistically significant at the 95% confidence level. This analysis quantifies the beginning of the recovery of the ozone hole, which is expected from the leveling off of stratospheric halogen loading due to the ban on CFCs and other halocarbons initiated by the Montreal Protocol.</t>
  </si>
  <si>
    <t>Georgia Inst Technol, Sch Earth &amp; Atmospher Sci, Atlanta, GA 30332 USA; Univ Alabama, Dept Atmospher Sci, Huntsville, AL 35805 USA; CALTECH, Jet Prop Lab, Pasadena, CA 91106 USA</t>
  </si>
  <si>
    <t>University System of Georgia; Georgia Institute of Technology; University of Alabama System; University of Alabama Huntsville; National Aeronautics &amp; Space Administration (NASA); NASA Jet Propulsion Laboratory (JPL); California Institute of Technology</t>
  </si>
  <si>
    <t>Georgia Inst Technol, Sch Earth &amp; Atmospher Sci, Atlanta, GA 30332 USA.</t>
  </si>
  <si>
    <t>cunnold@eas.gatech.edu</t>
  </si>
  <si>
    <t>Salawitch, Ross/B-4605-2009</t>
  </si>
  <si>
    <t>L12812</t>
  </si>
  <si>
    <t>10.1029/2004GL022296</t>
  </si>
  <si>
    <t>WOS:000230169700003</t>
  </si>
  <si>
    <t>Seebacher, F; Davison, W; Lowe, CJ; Franklin, CE</t>
  </si>
  <si>
    <t>A falsification of the thermal specialization paradigm: compensation for elevated temperatures in Antarctic fishes</t>
  </si>
  <si>
    <t>BIOLOGY LETTERS</t>
  </si>
  <si>
    <t>cardiac scope; climate change; critical swimming speed; metabolism; plasticity</t>
  </si>
  <si>
    <t>TROUT ONCORHYNCHUS-MYKISS; RAINBOW-TROUT; SEASONAL ACCLIMATIZATION; EVOLUTIONARY PHYSIOLOGY; ENZYME EXPRESSION; MUSCLE; PLASTICITY; METABOLISM; RESPONSES; MITOCHONDRIA</t>
  </si>
  <si>
    <t>Specialization to a particular environment is one of the main factors used to explain species distributions. Antarctic fishes are often cited as a classic example to illustrate the specialization process and are regarded as the archetypal stenotherms. Here we show that the Antarctic fish Pagothenia borchgrevinki has retained the capacity to compensate for chronic temperature change. By displaying astounding plasticity in cardiovascular response and metabolic control, the fishes maintained locomotory performance at elevated temperatures. Our falsification of the specialization paradigm indicates that the effect of climate change on species distribution and extinction may be overestimated by current models of global warming.</t>
  </si>
  <si>
    <t>Univ Sydney, Sch Biol Sci, Sydney, NSW 2006, Australia; Univ Canterbury, Sch Biol Sci, Christchurch 4800, New Zealand; Univ Queensland, Sch Life Sci, Physiol Ecol Lab, St Lucia, Qld 4072, Australia</t>
  </si>
  <si>
    <t>University of Sydney; University of Canterbury; University of Queensland</t>
  </si>
  <si>
    <t>Univ Sydney, Sch Biol Sci, A08, Sydney, NSW 2006, Australia.</t>
  </si>
  <si>
    <t>fseebach@bio.usyd.edu.au</t>
  </si>
  <si>
    <t>; Franklin, Craig/G-7343-2012</t>
  </si>
  <si>
    <t>Seebacher, Frank/0000-0002-2281-9311; Franklin, Craig/0000-0003-1315-3797</t>
  </si>
  <si>
    <t>ROYAL SOC</t>
  </si>
  <si>
    <t>LONDON</t>
  </si>
  <si>
    <t>6-9 CARLTON HOUSE TERRACE, LONDON SW1Y 5AG, ENGLAND</t>
  </si>
  <si>
    <t>1744-9561</t>
  </si>
  <si>
    <t>1744-957X</t>
  </si>
  <si>
    <t>BIOL LETTERS</t>
  </si>
  <si>
    <t>Biol. Lett.</t>
  </si>
  <si>
    <t>JUN 22</t>
  </si>
  <si>
    <t>10.1098/rsbl.2004.0280</t>
  </si>
  <si>
    <t>Biology; Ecology; Evolutionary Biology</t>
  </si>
  <si>
    <t>Life Sciences &amp; Biomedicine - Other Topics; Environmental Sciences &amp; Ecology; Evolutionary Biology</t>
  </si>
  <si>
    <t>968MR</t>
  </si>
  <si>
    <t>Green Published</t>
  </si>
  <si>
    <t>WOS:000232167100011</t>
  </si>
  <si>
    <t>Lo Monaco, C; Metzl, N; Poisson, A; Brunet, C; Schauer, B</t>
  </si>
  <si>
    <t>Anthropogenic CO2 in the Southern Ocean:: Distribution and inventory at the Indian-Atlantic boundary (World Ocean Circulation Experiment line I6) -: art. no. C06010</t>
  </si>
  <si>
    <t>BOTTOM WATER FORMATION; WEDDELL SEA; CARBON-DIOXIDE; PRYDZ BAY; INORGANIC CARBON; REDFIELD RATIOS; SURFACE-LAYER; GLOBAL OCEAN; DEEP-OCEAN; ANTARCTICA</t>
  </si>
  <si>
    <t>[ 1] The Southern Ocean, where various water masses are formed ( mode, intermediate, deep, and bottom waters), has a high potential to absorb anthropogenic CO2 ( C ant). However, most data-based and model estimates indicate low C-ant inventories south of 50 degrees S. In order to investigate this paradox, the distribution of C-ant is estimated between South Africa and Antarctica ( World Ocean Circulation Experiment ( WOCE) line I6) based on a back-calculation technique previously used in the North Atlantic ( Kortzinger et al., 1998) and adapted here for application in the Southern Ocean. At midlatitudes (30 degrees-50 degrees S), formation and spreading of mode and intermediate waters results in a deep penetration of C-ant ( down to 2000 m). South of 50 degrees S, significant concentrations of C ant were estimated in Circumpolar Deep Water (&gt; 10 mu mol/ kg) and Antarctic Bottom Water ( AABW) ( 20-25 mu mol/ kg). Higher concentrations are detected along the continental slope in AABW presumably formed in Prydz Bay compared to AABW of Weddell Sea origin. The distribution of C-ant obtained north of 50 degrees S compares well with previous databased and model estimates, but large disagreements are found in the south. However, although transient tracers are not used in the back-calculation technique employed here, the distribution of C-ant is remarkably well correlated with CFCs. We reevaluated the column inventories of C ant for the Southern Ocean and found higher values at high latitudes ( 70-90 mol/m(2)) compared to the subtropical/subantarctic region (40-80 mol/m(2)). These results support the idea that deep and bottom water formation in the Southern Ocean is a key process in the natural sequestration of anthropogenic CO2.</t>
  </si>
  <si>
    <t>Univ Paris 06, Lab Biogeochim &amp; Chim Marines, IPSL, F-75252 Paris, France</t>
  </si>
  <si>
    <t>Sorbonne Universite; Universite Paris Cite</t>
  </si>
  <si>
    <t>Univ Paris 06, Lab Biogeochim &amp; Chim Marines, IPSL, Case 134,4 Pl Jussieu, F-75252 Paris, France.</t>
  </si>
  <si>
    <t>lomonaco@ccr.jussieu.fr; metzl@ccr.jussieu.fr; apoisson@ccr.jussieu.fr; brunet@ccr.jussieu.fr; schauer@ccr.jussieu.fr</t>
  </si>
  <si>
    <t>Monaco, Claire Lo/E-1696-2012</t>
  </si>
  <si>
    <t>C06010</t>
  </si>
  <si>
    <t>10.1029/2004JC002643</t>
  </si>
  <si>
    <t>940UJ</t>
  </si>
  <si>
    <t>WOS:000230170700002</t>
  </si>
  <si>
    <t>Cook, CE; Yue, QY; Akam, M</t>
  </si>
  <si>
    <t>Mitochondrial genomes suggest that hexapods and crustaceans are mutually paraphyletic</t>
  </si>
  <si>
    <t>PROCEEDINGS OF THE ROYAL SOCIETY B-BIOLOGICAL SCIENCES</t>
  </si>
  <si>
    <t>Arthropoda; Hexapoda; mitochondria; genome; phylogeny; Pancrustacea</t>
  </si>
  <si>
    <t>PHYLOGENETIC-RELATIONSHIPS; GENE REARRANGEMENTS; BAYESIAN-INFERENCE; COMPLETE SEQUENCE; 28S RDNA; EVOLUTION; MODEL; POSITION; INSECTS; ARTHROPODS</t>
  </si>
  <si>
    <t>For over a century the relationships between the four major groups of the phylum Arthropoda (Chelicerata, Crustacea, Hexapoda and Myriapoda) have been debated. Recent molecular evidence has confirmed a close relationship between the Crustacea and the Hexapoda, and has included the suggestion of a paraphyletic Hexapoda. To test this hypothesis we have sequenced the complete or near-complete mitochondrial genomes of three crustaceans (Parhyale hawaiensis, Squilla mantis and Triops longicaudatus), two collembolans (Onychiurus orientalis and Podura aquatica) and the insect Thermobia domestica. We observed rearrangement of transfer RNA genes only in O. orientalis, P aquatica and P hawaiensis. Of these, only the rearrangement in O. orientalis, an apparent autapomorphy for the collembolan family Onychiuridae, was phylogenctically informative. We aligned the nuclear and amino acid sequences from the mitochondrial protein-encoding genes of these taxa with their homologues from other arthropod taxa for phylogenetic analysis. Our dataset contains many more Crustacea than previous molecular phylogenetic analyses of the arthropods. Neighbour-joining, maximum-likelihood and Bayesian posterior probabilities all suggest that crustaceans and hexapods are mutually paraphyletic. A crustacean clade of Malacostraca and Branchiopoda emerges as sister to the Insecta sensu stricto and the Collembola group with the maxillopod crustaceans. Some, but not all, analyses strongly support this mutual paraphyly but statistical tests do not reject the null hypotheses of a monophyletic Hexapoda or a monophyletic Crustacea. The dual monophyly of the Hexapoda and Crustacea has rarely been questioned in recent years but the idea of both groups' paraphyly dates back to the nineteenth century. We suggest that the mutual paraphyly of both groups should seriously be considered.</t>
  </si>
  <si>
    <t>Univ Cambridge, Dept Museum Zool, Cambridge CB2 3EJ, England; Chinese Acad Sci, Shanghai Inst Entomol, Shanghai 200025, Peoples R China</t>
  </si>
  <si>
    <t>University of Cambridge; Chinese Academy of Sciences</t>
  </si>
  <si>
    <t>British Antarctic Survey, Nat Environm Res Council, Div Biol Sci, High Cross,Madingley Rd, Cambridge CB3 0ET, England.</t>
  </si>
  <si>
    <t>cecook@alum.exeter.edu</t>
  </si>
  <si>
    <t>Cook, Charles E/0000-0002-4145-8048; Cook, Charles/0000-0003-1666-5640</t>
  </si>
  <si>
    <t>0962-8452</t>
  </si>
  <si>
    <t>1471-2954</t>
  </si>
  <si>
    <t>P ROY SOC B-BIOL SCI</t>
  </si>
  <si>
    <t>Proc. R. Soc. B-Biol. Sci.</t>
  </si>
  <si>
    <t>10.1098/rspb.2004.3042</t>
  </si>
  <si>
    <t>946HO</t>
  </si>
  <si>
    <t>WOS:000230563200014</t>
  </si>
  <si>
    <t>Poole, I; Cantrill, D; Utescher, T</t>
  </si>
  <si>
    <t>A multi-proxy approach to determine Antarctic terrestrial palaeoclimate during the Late Cretaceous and Early Tertiary</t>
  </si>
  <si>
    <t>PALAEOGEOGRAPHY PALAEOCLIMATOLOGY PALAEOECOLOGY</t>
  </si>
  <si>
    <t>palaeoclimate; fossil; wood; nearest living relatives; coexistence approach; Antarctica</t>
  </si>
  <si>
    <t>JAMES-ROSS-ISLAND; FOSSIL WOOD; DICOTYLEDONOUS WOOD; ALEXANDER-ISLAND; HIGH CO2; LIVINGSTON ISLAND; WILLIAMS POINT; LEAF; EVOLUTION; SENSITIVITY</t>
  </si>
  <si>
    <t>Fossil wood is abundant throughout the Cretaceous and Tertiary sequences of the northern Antarctic Peninsula region. The fossil wood represents the remains of the vegetation that once grew at the southern high palaeolatitudes at 59-62 degrees S through the general decline in climate, from the Late Cretaceous global warmth through to the mid-Eocene cool period prior to the onset of glaciation. This study draws on the largest dataset ever compiled of Antarctic conifer and angiosperm woods in order to derive clearer insights into the palaeoclimate. Parameters including mean annual temperature, mean annual range in temperature, cold month mean, warm month mean, mean annual precipitation are recorded. The fossil wood assemblages have been analysed using anatomical (physiognomic) characteristics to determine the palaeoclimate variables from the Coniacian-Campanian to the middle Eocene. These results are compared with data derived from Coexistence Analysis of the fossil floras (composed of leaves, wood and palynomorphs) and published data based on leaf physiognomic characters. These studies indicate a relatively warm and wet Late Cretaceous that becomes drier and cooler in the Early Paleocene and subsequently returns to warmer, wetter conditions by the latest Early Paleocene. During the Eocene the climate becomes relatively cool and dry once again. The discrepancies obtained from these two methods coupled with other published data are discussed in the context of the fluctuations in the temperatures of the surrounding oceans and global patterns of climate change. (c) 2005 Elsevier B.V All rights reserved.</t>
  </si>
  <si>
    <t>Univ Utrecht Branch, Natl Herbarium Netherlands, Wood Anat Sect, NL-3585 CS Utrecht, Netherlands; Univ Oslo, Museum Paleontol, N-0318 Oslo, Norway; Swedish Museum Nat Hist, Palaeobot Sect, S-10405 Stockholm, Sweden; Univ Bonn, Inst Geol, D-53115 Bonn, Germany</t>
  </si>
  <si>
    <t>Utrecht University; University of Oslo; Swedish Museum of Natural History; University of Bonn</t>
  </si>
  <si>
    <t>Univ Utrecht Branch, Natl Herbarium Netherlands, Wood Anat Sect, POB 80102, NL-3585 CS Utrecht, Netherlands.</t>
  </si>
  <si>
    <t>i.poole@geo.uu.nl</t>
  </si>
  <si>
    <t>Cantrill, David/R-1415-2019</t>
  </si>
  <si>
    <t>Cantrill, David/0000-0002-1185-4015</t>
  </si>
  <si>
    <t>0031-0182</t>
  </si>
  <si>
    <t>1872-616X</t>
  </si>
  <si>
    <t>PALAEOGEOGR PALAEOCL</t>
  </si>
  <si>
    <t>Paleogeogr. Paleoclimatol. Paleoecol.</t>
  </si>
  <si>
    <t>JUN 21</t>
  </si>
  <si>
    <t>10.1016/j.palaeo.2005.03.011</t>
  </si>
  <si>
    <t>Geography, Physical; Geosciences, Multidisciplinary; Paleontology</t>
  </si>
  <si>
    <t>Physical Geography; Geology; Paleontology</t>
  </si>
  <si>
    <t>939DC</t>
  </si>
  <si>
    <t>WOS:000230051500006</t>
  </si>
  <si>
    <t>Martin, P; Archer, D; Lea, DW</t>
  </si>
  <si>
    <t>Role of deep sea temperature in the carbon cycle during the last glacial</t>
  </si>
  <si>
    <t>ATMOSPHERIC CO2 CONCENTRATION; MILLENNIAL-SCALE EVENTS; PORE FLUID CONSTRAINTS; ICE-CORE; CLIMATE-CHANGE; MG/CA; SENSITIVITY; GREENLAND; ATLANTIC; DIOXIDE</t>
  </si>
  <si>
    <t>To characterize the response of Earth's climate system to increases in atmospheric CO2, climate modelers define climate sensitivity as the change in global mean temperature in response to prescribed forcing. Here we turn this approach around and use estimates of ocean temperature change to investigate the mechanisms driving CO2 variations over the last glacial. New records provide evidence of a link between deep ocean temperature and atmospheric CO2 over the last glacial cycle. Two mechanisms simultaneously couple pCO(2) and deep ocean temperature: the temperature-dependent solubility of CO2 in seawater and the atmospheric CO2-dependent radiative forcing of temperature. Each of these forcing mechanisms leaves a unique slope of covariation between CO2 and deep ocean temperature, which we estimate using numerical models of climate and the carbon cycle. The pCO(2)/T slopes derived from paleoclimate data differ between the deglaciation and shorter 5-kyr duration events in marine isotope stage 3 (MIS 3), revealing different mechanisms driving atmospheric CO2 variability. The amplitude of changes over the deglaciation coincides with estimates for CO2 forcing of temperature; however, CO2 changes during MIS 3 can be explained solely by temperature-dependent solubility driving variations in atmospheric pCO(2). The deep water temperature changes during MIS 3 may reflect changes in the temperature or relative contribution of Antarctic Bottom Water and play a role in the bipolar seesaw.</t>
  </si>
  <si>
    <t>Univ Chicago, Dept Geophys Sci, Chicago, IL 60637 USA; Univ Calif Santa Barbara, Dept Geol Sci, Santa Barbara, CA 93106 USA; Univ Calif Santa Barbara, Inst Marine Sci, Santa Barbara, CA 93106 USA</t>
  </si>
  <si>
    <t>University of Chicago; University of California System; University of California Santa Barbara; University of California System; University of California Santa Barbara</t>
  </si>
  <si>
    <t>Univ Chicago, Dept Geophys Sci, 5734 S Ellis Ave, Chicago, IL 60637 USA.</t>
  </si>
  <si>
    <t>pmartin@uchicago.edu</t>
  </si>
  <si>
    <t>Martin, Pamela A/C-3678-2012; Archer, David/K-7371-2012</t>
  </si>
  <si>
    <t>Archer, David/0000-0002-4523-7912</t>
  </si>
  <si>
    <t>JUN 18</t>
  </si>
  <si>
    <t>PA2015</t>
  </si>
  <si>
    <t>10.1029/2003PA000914</t>
  </si>
  <si>
    <t>938IW</t>
  </si>
  <si>
    <t>WOS:000229994200001</t>
  </si>
  <si>
    <t>Cai, WJ; Shi, G; Li, Y</t>
  </si>
  <si>
    <t>Multidecadal fluctuations of winter rainfall over southwest Western Australia simulated in the CSIRO Mark 3 coupled model</t>
  </si>
  <si>
    <t>HEMISPHERE CLIMATE-CHANGE; ANTARCTIC OSCILLATION; ANNULAR MODE; SOUTHERN; VARIABILITY; CIRCULATION; TRENDS; OZONE</t>
  </si>
  <si>
    <t>Previous studies have suggested that the observed winter rainfall reduction since the late 1960s over southwest Western Australia (SWWA) is consistent with what is expected from greenhouse forcing but the relative importance of potential causes is not conclusive. Here, we investigate the possibility of the rainfall reduction being a part of multidecadal variability using outputs of the CSIRO Mark 3 climate model. We find that multidecadal-long drying trends comparable to the observed exist in an experiment without climate change forcing. The model multidecadal-long rainfall decline manifests as a reduction in high-intensity rainfall events and is accompanied by an upward trend of the southern annular mode (SAM) with an increasing midlatitude mean sea level pressure (MSLP). Thus, multidecadal variability could primarily be responsible for the observed winter rainfall reduction, and could potentially superimpose on a greenhouse-induced drying trend to generate an even greater reduction than what has been observed thus far.</t>
  </si>
  <si>
    <t>CSIRO Atmospher Res, Aspendale, Vic 3195, Australia; CSIRO Math &amp; Informat Sci, Wembley, WA 6913, Australia</t>
  </si>
  <si>
    <t>Commonwealth Scientific &amp; Industrial Research Organisation (CSIRO); Commonwealth Scientific &amp; Industrial Research Organisation (CSIRO)</t>
  </si>
  <si>
    <t>CSIRO Atmospher Res, PMB 1, Aspendale, Vic 3195, Australia.</t>
  </si>
  <si>
    <t>wenju.cai@csiro.au</t>
  </si>
  <si>
    <t>Li, Yun/ABZ-6481-2022; Li, Yun/E-8569-2010; Cai, Wenju/C-2864-2012</t>
  </si>
  <si>
    <t>Li, Yun/0000-0001-9925-7372; Li, Yun/0000-0001-9925-7372; Cai, Wenju/0000-0001-6520-0829</t>
  </si>
  <si>
    <t>JUN 17</t>
  </si>
  <si>
    <t>L12701</t>
  </si>
  <si>
    <t>10.1029/2005GL022712</t>
  </si>
  <si>
    <t>938FZ</t>
  </si>
  <si>
    <t>WOS:000229986600007</t>
  </si>
  <si>
    <t>Thomson, NR; Rodger, CJ; Clilverd, MA</t>
  </si>
  <si>
    <t>Large solar flares and their ionospheric D region enhancements -: art. no. A06306</t>
  </si>
  <si>
    <t>JOURNAL OF GEOPHYSICAL RESEARCH-SPACE PHYSICS</t>
  </si>
  <si>
    <t>AMPLITUDE OBSERVATIONS; VLF PHASE; PARAMETERS; SPRITES</t>
  </si>
  <si>
    <t>On 4 November 2003, the largest solar flare ever recorded saturated the GOES satellite X-ray detectors, making an assessment of its size difficult. However, VLF radio phase advances effectively recorded the lowering of the VLF reflection height and hence the lowest edge of the Earth's ionosphere. Previously, these phase advances were used to extrapolate the GOES 0.1-0.8 nm (XL) fluxes from saturation at X17 to give a peak magnitude of X45 +/- 5 for this great flare. Here it is shown that a similar extrapolation, but using the other GOES X-ray band, 0.05-0.4 nm (XS), is also consistent with a magnitude of X45. Also reported here are VLF phase measurements from two paths near dawn: Omega Australia to Dunedin, New Zealand (only just all sunlit) and NPM, Hawaii, to Ny Alesund, Svalbard (only partly sunlit), which also give remarkably good extrapolations of the flare flux, suggesting that VLF paths monitoring flares do not necessarily need to be in full daylight. D region electron densities are modeled as functions of X-ray flux up to the level of the great X45 flare by using flare-induced VLF amplitudes together with the VLF phase changes. During this great flare, the Wait reflection height, H', was found to have been lowered to similar to 53 km or similar to 17 km below the normal midday value of similar to 70 km. Finally, XL/XS ratios are examined during some large flares, including the great flare. Plots of such ratios against XL can give quite good estimates of the great flare's size (X45) but without use of VLF measurements.</t>
  </si>
  <si>
    <t>Univ Otago, Dept Phys, Dunedin, New Zealand; British Antarctic Survey, Div Phys Sci, Cambridge CB3 0ET, England</t>
  </si>
  <si>
    <t>University of Otago; UK Research &amp; Innovation (UKRI); Natural Environment Research Council (NERC); NERC British Antarctic Survey</t>
  </si>
  <si>
    <t>Univ Otago, Dept Phys, POB 56, Dunedin, New Zealand.</t>
  </si>
  <si>
    <t>thomson@physics.otago.ac.nz</t>
  </si>
  <si>
    <t>Rodger, Craig/A-1501-2011</t>
  </si>
  <si>
    <t>Rodger, Craig J./0000-0002-6770-2707</t>
  </si>
  <si>
    <t>2169-9380</t>
  </si>
  <si>
    <t>2169-9402</t>
  </si>
  <si>
    <t>J GEOPHYS RES-SPACE</t>
  </si>
  <si>
    <t>J. Geophys. Res-Space Phys.</t>
  </si>
  <si>
    <t>A6</t>
  </si>
  <si>
    <t>A06306</t>
  </si>
  <si>
    <t>10.1029/2005JA011008</t>
  </si>
  <si>
    <t>Astronomy &amp; Astrophysics</t>
  </si>
  <si>
    <t>938IR</t>
  </si>
  <si>
    <t>Bronze, Green Submitted</t>
  </si>
  <si>
    <t>WOS:000229993600001</t>
  </si>
  <si>
    <t>Gales, NJ; Kasuya, T; Clapham, PJ; Brownell, RL</t>
  </si>
  <si>
    <t>Japan's whaling plan under scrutiny</t>
  </si>
  <si>
    <t>NATURE</t>
  </si>
  <si>
    <t>Australian Antarctic Div, Kingston, Tas 7050, Australia; Teikyo Univ Sci &amp; Technol, Yamanashi 4090193, Japan; Natl Marine Mammal Lab, Alaska Fisheries Sci Ctr, Seattle, WA 98115 USA; SW Fisheries Sci Ctr, Pacific Grove, CA 93950 USA</t>
  </si>
  <si>
    <t>Australian Antarctic Division; National Oceanic Atmospheric Admin (NOAA) - USA; National Oceanic Atmospheric Admin (NOAA) - USA</t>
  </si>
  <si>
    <t>Gales, NJ (corresponding author), Australian Antarctic Div, Channel Highway, Kingston, Tas 7050, Australia.</t>
  </si>
  <si>
    <t>NATURE PUBLISHING GROUP</t>
  </si>
  <si>
    <t>MACMILLAN BUILDING, 4 CRINAN ST, LONDON N1 9XW, ENGLAND</t>
  </si>
  <si>
    <t>0028-0836</t>
  </si>
  <si>
    <t>Nature</t>
  </si>
  <si>
    <t>JUN 16</t>
  </si>
  <si>
    <t>10.1038/435883a</t>
  </si>
  <si>
    <t>935RN</t>
  </si>
  <si>
    <t>WOS:000229799700020</t>
  </si>
  <si>
    <t>Parkinson, D; Curry, GB; Cusack, M; Fallick, AE</t>
  </si>
  <si>
    <t>Shell structure, patterns and trends of oxygen and carbon stable isotopes in modern brachiopod shells</t>
  </si>
  <si>
    <t>CHEMICAL GEOLOGY</t>
  </si>
  <si>
    <t>brachiopods; ultrastructure; stable carbon isotopes; stable oxygen isotopes; stable isotopes; isotopic equilibrium</t>
  </si>
  <si>
    <t>ARTICULATE BRACHIOPODS; MARINE-INVERTEBRATES; TEREBRATALIA-TRANSVERSA; PALEOZOIC OCEANS; LIOTHYRELLA-UVA; LACEPEDE SHELF; SEAWATER; CORALS; FRACTIONATION; GEOCHEMISTRY</t>
  </si>
  <si>
    <t>This study investigates delta(13)C and delta(18)O variations in the shells of modem brachiopods representing all extant groups of calcite-precipitating brachiopods, collected live from 8 locations. SEM examinations determined the ultrastructural characteristics of each species prior to isotope analyses. delta(13)C and delta(18)O analyses of shell carbonate were carried out with samples representing disparate morphological features and ultrastructural shell layers of both ventral and dorsal valves. Generally, delta(18)O values from the fibrous secondary or prismatic tertiary shell layers of the articulated Terebratulida and Rhynchonellida species were in oxygen isotopic equilibrium with ambient seawater. Isotopic temperatures extrapolated from these values are close to measured annual mean seawater temperatures. delta(18)O values were relatively unaffected by shell specialisation. The only exception was Antarctic species Liothyrella uva, which did not have a complete tertiary shell layer typical of this genus and had delta(18)O values of the innermost layer strongly correlated with delta(13)C and mostly not in oxygen isotopic equilibrium with ambient seawater. With the exception of the rhynchonellid Notosaria nigricans, the outer primary layer material was depleted in delta(13)C and delta(18)O and highly variable. Inclusion of this material even as part of a whole shell sample could lead to misinterpretation of seawater temperature, therefore only fossil secondary layer material should be used. The anomalous articulated thecideidine brachiopod Thecidellina barretti is composed of mainly primary shell material and was not in oxygen isotope equilibrium. delta(18)O values from the laminar secondary layer material of the inarticulated Cramida are highly variable. Therefore, these species are not recommended for use as palaeoenvironmental proxies. This study suggests caution when employing fossil brachiopod shells with similar ultrastructures to modem craniid and thecideidine brachiopods. The carbon isotope composition is highly variable in all of the brachiopods studied. Analysis of samples from specialised regions of the secondary shell layer show a pattern of depletion in C-13 relative to non-specialised secondary material. The carbon isotope variability is independent of delta(18)O and is repeated in most of the articulated species regardless of geographical location. This is possibly a vital effect produced by metabolic prioritisation. (c) 2005 Elsevier B.V. All rights reserved.</t>
  </si>
  <si>
    <t>Univ Glasgow, Div Earth Sci, Ctr Geosci, Glasgow G12 8QQ, Lanark, Scotland; Scottish Univ Environm Res Ctr, Glasgow G75 0QF, Lanark, Scotland</t>
  </si>
  <si>
    <t>University of Glasgow; Scottish Universities Research &amp; Reactor Center</t>
  </si>
  <si>
    <t>Parkinson, D (corresponding author), Univ Glasgow, Div Earth Sci, Ctr Geosci, Geogory Bldg,Lilybank Gardens, Glasgow G12 8QQ, Lanark, Scotland.</t>
  </si>
  <si>
    <t>d.parkinson@earthsci.gla.ac.uk</t>
  </si>
  <si>
    <t>Cusack, Maggie/A-2532-2009</t>
  </si>
  <si>
    <t>Cusack, Maggie/0000-0003-0145-1180; Fallick, Anthony/0000-0002-7649-6167</t>
  </si>
  <si>
    <t>0009-2541</t>
  </si>
  <si>
    <t>CHEM GEOL</t>
  </si>
  <si>
    <t>Chem. Geol.</t>
  </si>
  <si>
    <t>JUN 15</t>
  </si>
  <si>
    <t>1-4</t>
  </si>
  <si>
    <t>10.1016/j.chemgeo.2005.02.002</t>
  </si>
  <si>
    <t>936RQ</t>
  </si>
  <si>
    <t>WOS:000229873500012</t>
  </si>
  <si>
    <t>Sijp, WP; England, MH</t>
  </si>
  <si>
    <t>Role of the drake passage in controlling the stability of the ocean's thermohaline circulation</t>
  </si>
  <si>
    <t>JOURNAL OF CLIMATE</t>
  </si>
  <si>
    <t>SOUTHERN-HEMISPHERE WINDS; WORLD OCEAN; MODEL; SALINITY</t>
  </si>
  <si>
    <t>The role of a Southern Ocean gateway in permitting multiple equilibria of the global ocean thermohaline circulation is examined. In particular, necessary conditions for the existence of multiple equilibria are studied with a coupled climate model, wherein stable solutions are obtained for a range of bathymetries with varying Drake Passage (DP) depths. No transitions to a Northern Hemisphere (NH) overturning state are found when the Drake Passage sill is shallower than a critical depth (1100 m in the model described herein). This preference for Southern Hemisphere sinking is a result of the particularly cold conditions of the Antarctic Bottom Water (AABW) formation regions compared to the NH deep-water formation zones. In a shallow or closed DP configuration, this forces an exclusive production of deep/bottom water in the Southern Hemisphere. Increasing the depth of the Drake Passage sill causes a gradual vertical decoupling in Atlantic circulation, removing the influence of AABW from the upper 2000 m of the Atlantic Ocean. When the DP is sufficiently deep, this shifts the interaction between a North Atlantic Deep Water (NADW) cell and an AABW cell to an interaction between an (shallower) Antarctic Intermediate Water cell and an NADW cell. This latter situation allows transitions to a Northern Hemisphere overturning state.</t>
  </si>
  <si>
    <t>Univ New S Wales, Sch Math, Ctr Environm Modelling &amp; Predict, Sydney, NSW, Australia</t>
  </si>
  <si>
    <t>University of New South Wales Sydney</t>
  </si>
  <si>
    <t>Univ New S Wales, Sch Math, Sydney, NSW 2052, Australia.</t>
  </si>
  <si>
    <t>wsijp@maths.unsw.edu.au</t>
  </si>
  <si>
    <t>Sijp, Willem P/E-5988-2012; England, Matthew/A-7539-2011</t>
  </si>
  <si>
    <t>England, Matthew/0000-0001-9696-2930; Sijp, Willem/0000-0002-5971-3860</t>
  </si>
  <si>
    <t>AMER METEOROLOGICAL SOC</t>
  </si>
  <si>
    <t>BOSTON</t>
  </si>
  <si>
    <t>45 BEACON ST, BOSTON, MA 02108-3693, UNITED STATES</t>
  </si>
  <si>
    <t>0894-8755</t>
  </si>
  <si>
    <t>1520-0442</t>
  </si>
  <si>
    <t>J CLIMATE</t>
  </si>
  <si>
    <t>J. Clim.</t>
  </si>
  <si>
    <t>10.1175/JCLI3376.1</t>
  </si>
  <si>
    <t>941FB</t>
  </si>
  <si>
    <t>WOS:000230199600007</t>
  </si>
  <si>
    <t>Holland, MM; Bitz, CM; Hunke, EC</t>
  </si>
  <si>
    <t>Mechanisms forcing an antarctic dipole in simulated sea ice and surface ocean conditions</t>
  </si>
  <si>
    <t>CLIMATE SYSTEM MODEL; CIRCUMPOLAR WAVE; SOUTHERN-OSCILLATION; THICKNESS DISTRIBUTION; CIRCULATION; VARIABILITY; ATMOSPHERE; DYNAMICS; IMPACT; SIGNAL</t>
  </si>
  <si>
    <t>The mechanisms forcing variability in Southern Ocean sea ice and sea surface temperature from 600 years of a control climate coupled model integration are discussed. As in the observations, the leading mode of simulated variability exhibits a dipole pattern with positive anomalies in the Pacific sector associated with negative anomalies in the Atlantic. It is found that in the Pacific ocean circulation changes associated with variable wind forcing modify the ocean heat flux convergence and sea ice transport, resulting in sea surface temperature and sea ice anomalies. The Pacific ice and ocean anomalies persist over a number of years due to reductions in ocean shortwave absorption reinforcing the initial anomalies. In the Atlantic sector, no single process dominates in forcing the anomalies. Instead there are contributions from changing ocean and sea ice circulation and surface heat fluxes. While the absorbed solar radiation in the Atlantic is modified by the changing surface albedo, the anomalies are much shorter-lived than in the Pacific because the ocean circulation transports them northward, removing them from ice formation regions. Sea ice and ocean anomalies associated with the El Nino-Southern Oscillation and the Southern Annular Mode both exhibit a dipole pattern and contribute to the leading mode of ice and ocean variability.</t>
  </si>
  <si>
    <t>Natl Ctr Atmospher Res, Boulder, CO 80307 USA; Polar Sci Ctr, Appl Phys Lab, Seattle, WA USA; Los Alamos Natl Lab, Fluid Dynam Grp, Los Alamos, NM USA</t>
  </si>
  <si>
    <t>National Center Atmospheric Research (NCAR) - USA; United States Department of Energy (DOE); Los Alamos National Laboratory</t>
  </si>
  <si>
    <t>Natl Ctr Atmospher Res, POB 3000, Boulder, CO 80307 USA.</t>
  </si>
  <si>
    <t>mholland@ucar.edu</t>
  </si>
  <si>
    <t>Bitz, Cecilia M/S-8423-2016</t>
  </si>
  <si>
    <t>Bitz, Cecilia/0000-0002-9477-7499; Holland, Marika/0000-0001-5621-8939</t>
  </si>
  <si>
    <t>45 BEACON ST, BOSTON, MA 02108-3693 USA</t>
  </si>
  <si>
    <t>10.1175/JCLI3396.1</t>
  </si>
  <si>
    <t>WOS:000230199600013</t>
  </si>
  <si>
    <t>Aitken, JP; O'Dor, RK; Jackson, GD</t>
  </si>
  <si>
    <t>The secret life of the giant Australian cuttlefish Sepia apama (Cephalopoda):: Behaviour and energetics in nature revealed through radio acoustic positioning and telemetry (RAPT)</t>
  </si>
  <si>
    <t>JOURNAL OF EXPERIMENTAL MARINE BIOLOGY AND ECOLOGY</t>
  </si>
  <si>
    <t>activity budget; bioenergetics; cuttlefish; jet pressure; Sepia apama; telemetry</t>
  </si>
  <si>
    <t>SQUID GROWTH; DYNAMICS; MOLLUSCA; RATES</t>
  </si>
  <si>
    <t>sepia apama were tagged with acoustic transmitters and monitored on their native House Reef, Boston Bay, South Australia, with a radio acoustic positioning telemetry (RAPT) system. Cuttlefish were tagged with position-only and intramantle jet pressure transmitters. New data analyses were developed to handle problem data that arise with an uneven reef 2 environment. Maximum range for the cuttlefish varied from 90 in to 550 in. Cuttlefish home range was between 5300 M and 23,700 m(2). S. apama were found to be diurnal as average distance travelled was higher in the day than at night, and cuttlefish were active for 32 days, but only 18 nights. After the cuttlefish settled into reef crevices, activity spectrum and positioning analysis showed foraging behaviour at only 3.7% per day and 2.1% per night. Cuttlefish were found to spend more than 95% of the day resting, which suggests that their bioenergetics are more akin to those of octopus than of squid. The cuttlefish combination of predator avoidance, efficient foraging and quiescent lifestyle allows energy to be channelled into growth and fulfillment of the live-fast-die-young cephalopod philosophy. (c) 2005 Elsevier B.V All rights reserved.</t>
  </si>
  <si>
    <t>Dalhousie Univ, Dept Biol, Halifax, NS B3H 4J1, Canada; Univ Tasmania, Inst Antarctic &amp; So Ocean Studies, Hobart, Tas 7001, Australia</t>
  </si>
  <si>
    <t>Dalhousie University; University of Tasmania</t>
  </si>
  <si>
    <t>667 Kings Coll, Cambridge CB2 1ST, England.</t>
  </si>
  <si>
    <t>ipa31@cam.ac.uk</t>
  </si>
  <si>
    <t>Jackson, George D/AAI-7315-2021</t>
  </si>
  <si>
    <t>0022-0981</t>
  </si>
  <si>
    <t>1879-1697</t>
  </si>
  <si>
    <t>J EXP MAR BIOL ECOL</t>
  </si>
  <si>
    <t>J. Exp. Mar. Biol. Ecol.</t>
  </si>
  <si>
    <t>10.1016/j.jembe.2004.12.040</t>
  </si>
  <si>
    <t>Ecology; Marine &amp; Freshwater Biology</t>
  </si>
  <si>
    <t>Environmental Sciences &amp; Ecology; Marine &amp; Freshwater Biology</t>
  </si>
  <si>
    <t>936SZ</t>
  </si>
  <si>
    <t>WOS:000229877000006</t>
  </si>
  <si>
    <t>Miller, KG; Wright, JD; Browning, JV</t>
  </si>
  <si>
    <t>Visions of ice sheets in a greenhouse world</t>
  </si>
  <si>
    <t>MARINE GEOLOGY</t>
  </si>
  <si>
    <t>ice sheets; greenhouse world; sea-level changes</t>
  </si>
  <si>
    <t>DEEP-WATER CIRCULATION; SEA-LEVEL HISTORY; STABLE-ISOTOPE; COASTAL-PLAIN; EOCENE; OXYGEN; SEQUENCES; CLIMATE; RECORD; OCEAN</t>
  </si>
  <si>
    <t>Backstripped eustatic estimates from New Jersey and the Russian platform show large (&gt; 25 m) and rapid (&lt; 1 my) sea-level changes in the Late Cretaceous to early Eocene (99-49 Ma). The largest of these sea-level events occurred at the Campanian/Maastrichtian boundary (71.5 Ma); we infer that ice growth and attendant sea-level lowering at 71.5 Ma were as great as many Oligocene and younger events (similar to 40 in sea-level change). Glacioeustasy is the only known mechanism that can account for Late Cretaceous to early Eocene rapid changes because other hypothesized mechanisms (steric effects, water storage in lakes, deep-water changes, groundwater, or sea ice) are too slow or too small. In contrast to this evidence for glacioeustasy, ample geological evidence points to warm high-latitude temperatures at this time. The late Cenomanian-early Turonian delta O-18 record highlights the enigma. This was the wan-nest interval of the past 200 my, yet it was bracketed by two inferred eustatic falls of similar to 25 m that were associated with two large (&gt; 0.75 parts per thousand) deep-sea delta O-18 increases (92-93 Ma, mid-Turonian and 96 Ma, mid-Cenomanian). We reconcile records of warm high latitudes with glacioeustasy by proposing that Late Cretaceous-early Eocene ice sheets generally reached maximum volumes of 8-12 X 10(6) km(3) (20-30 m glacioeustatic equivalent), but did not reach the Antarctic coast; hence, coastal Antarctica (hence deep water) remained relatively warm even though there were significant changes in sea level as the result of glaciation. Unlike the Oligocene and younger icehouse world, these ice sheets only existed during short intervals of peak Milankovitch insolation, leaving Antarctica ice-free during much of the greenhouse Late Cretaceous to middle Eocene. These results highlight the need to re-evaluate the paradigm that polar ice sheets did not exist during times of warm high-latitude climates. (c) 2005 Elsevier B.V All rights reserved.</t>
  </si>
  <si>
    <t>Rutgers State Univ, Dept Geol Sci, Piscataway, NJ 08854 USA</t>
  </si>
  <si>
    <t>Rutgers University System; Rutgers University New Brunswick</t>
  </si>
  <si>
    <t>Rutgers State Univ, Dept Geol Sci, Piscataway, NJ 08854 USA.</t>
  </si>
  <si>
    <t>kgm@rci.rutgers.edu</t>
  </si>
  <si>
    <t>Wright, James/AAF-7180-2019</t>
  </si>
  <si>
    <t>Wright, James/0000-0001-5212-9146; Miller, Kenneth/0000-0002-7583-7425</t>
  </si>
  <si>
    <t>0025-3227</t>
  </si>
  <si>
    <t>1872-6151</t>
  </si>
  <si>
    <t>MAR GEOL</t>
  </si>
  <si>
    <t>Mar. Geol.</t>
  </si>
  <si>
    <t>3-4</t>
  </si>
  <si>
    <t>10.1016/j.margeo.2005.02.007</t>
  </si>
  <si>
    <t>Geosciences, Multidisciplinary; Oceanography</t>
  </si>
  <si>
    <t>Geology; Oceanography</t>
  </si>
  <si>
    <t>938KC</t>
  </si>
  <si>
    <t>WOS:000229997500003</t>
  </si>
  <si>
    <t>Silvestri, A</t>
  </si>
  <si>
    <t>AMANDA Collaboration</t>
  </si>
  <si>
    <t>The Amanda neutrino telescope</t>
  </si>
  <si>
    <t>INTERNATIONAL JOURNAL OF MODERN PHYSICS A</t>
  </si>
  <si>
    <t>Meeting of the Division of Particles and Fields of the American-Physical-Society</t>
  </si>
  <si>
    <t>AUG, 2004</t>
  </si>
  <si>
    <t>Univ Calif Riverside, Riverside, CA</t>
  </si>
  <si>
    <t>Univ Calif Riverside</t>
  </si>
  <si>
    <t>neutrino detector; neutrino telescopes; neutrino astronomy; Antarctic ice; ultra high energy neutrinos; AMANDA</t>
  </si>
  <si>
    <t>We present recent results from the Antarctic. Muon And Neutrino Detector Array (AMANDA), located at the South Pole in Antarctica. AMANDA-II, commissioned in 2000, is a multipurpose high energy neutrino telescope with a broad physics and astrophysics scope. We summarize the results from searches for a variety of sources of ultra-high energy neutrinos: TeV-PeV diffuse sources by measuring either muon tracks or cascades, neutrinos in excess of PeV by searching for muons traveling in the downgoing direction and point sources.</t>
  </si>
  <si>
    <t>Univ Calif Irvine, Dept Phys &amp; Astron, Irvine, CA 92697 USA</t>
  </si>
  <si>
    <t>University of California System; University of California Irvine</t>
  </si>
  <si>
    <t>Silvestri, A (corresponding author), Univ Calif Irvine, Dept Phys &amp; Astron, Irvine, CA 92697 USA.</t>
  </si>
  <si>
    <t>WORLD SCIENTIFIC PUBL CO PTE LTD</t>
  </si>
  <si>
    <t>SINGAPORE</t>
  </si>
  <si>
    <t>5 TOH TUCK LINK, SINGAPORE 596224, SINGAPORE</t>
  </si>
  <si>
    <t>0217-751X</t>
  </si>
  <si>
    <t>INT J MOD PHYS A</t>
  </si>
  <si>
    <t>Int. J. Mod. Phys. A</t>
  </si>
  <si>
    <t>JUN 10</t>
  </si>
  <si>
    <t>10.1142/S0217751X05025838</t>
  </si>
  <si>
    <t>Physics, Nuclear; Physics, Particles &amp; Fields</t>
  </si>
  <si>
    <t>Conference Proceedings Citation Index - Science (CPCI-S); Science Citation Index Expanded (SCI-EXPANDED)</t>
  </si>
  <si>
    <t>Physics</t>
  </si>
  <si>
    <t>952HF</t>
  </si>
  <si>
    <t>WOS:000230993900025</t>
  </si>
  <si>
    <t>Zoccolillo, L; Amendola, L; Cafaro, C; Insogna, S</t>
  </si>
  <si>
    <t>Improved analysis of volatile halogenated hydrocarbons in water by purge-and-trap with gas chromatography and mass spectrometric detection</t>
  </si>
  <si>
    <t>JOURNAL OF CHROMATOGRAPHY A</t>
  </si>
  <si>
    <t>water analysis; volatile halogenated compounds; PTI-GC-MS</t>
  </si>
  <si>
    <t>ORGANIC-COMPOUNDS; HALOCARBONS; TETRACHLOROETHENE; DICHLOROMETHANE; TRICHLOROETHENE; EMISSIONS</t>
  </si>
  <si>
    <t>An analytical system composed of a purge-and-trap injection system coupled to gas chromatography with mass spectrometric detection (PTI-GC-MS) specific for the analysis of volatile chlorinated hydrocarbons (VCHCs) (chloroform; 1, 1, 1-trichloroethane; tetrachloromethane; 1, 1,2-trichloroethylene; tetrachloroethylene) and trihalomethanes (THMs) (chloroform; bromodichloromethane; dibromochloromethane; bromoform) in water was optimised. Samples were purged and trapped in a cold trap (-100 degrees C) fed with liquid nitrogen (cryo-concentration). In order to make this method suitable also for only slightly contaminated waters, some modifications were made to PTI sample introduction, in order to avoid any air intake into the system. PTI, GC and MS conditions were optimised for halogenated compound analysis and limits of detection (LOD) were evaluated. The proposed method allows analysis of samples whose concentrations range from mu g/L to ng/L. It is, therefore, applicable to drinking waters, in analyses required by law, and to slightly contaminated aqueous matrices, such as those found in remote areas, in environmental monitoring. Moreover, by changing cold trap temperature, even sparkling mineral waters can be analysed, thus avoiding CO2 interference during the cryo-concentration phase. Our method has been successfully used on real samples: tap Water, mineral water and Antarctic snow. (C) 2005 Elsevier B.V. All rights reserved.</t>
  </si>
  <si>
    <t>Univ Roma La Sapienza, Dipartimento Chim, I-00185 Rome, Italy</t>
  </si>
  <si>
    <t>Sapienza University Rome</t>
  </si>
  <si>
    <t>Univ Roma La Sapienza, Dipartimento Chim, Ple Aldo Moro 5, I-00185 Rome, Italy.</t>
  </si>
  <si>
    <t>lelio.zoccolillo@uniroma1.it</t>
  </si>
  <si>
    <t>Insogna, Susanna/M-7301-2015</t>
  </si>
  <si>
    <t>Insogna, Susanna/0000-0001-9463-1273</t>
  </si>
  <si>
    <t>0021-9673</t>
  </si>
  <si>
    <t>1873-3778</t>
  </si>
  <si>
    <t>J CHROMATOGR A</t>
  </si>
  <si>
    <t>J. Chromatogr. A</t>
  </si>
  <si>
    <t>10.1016/j.chroma.2005.04.076</t>
  </si>
  <si>
    <t>Biochemical Research Methods; Chemistry, Analytical</t>
  </si>
  <si>
    <t>Biochemistry &amp; Molecular Biology; Chemistry</t>
  </si>
  <si>
    <t>937SK</t>
  </si>
  <si>
    <t>WOS:000229945600010</t>
  </si>
  <si>
    <t>Peters, ME; Blankenship, DD; Morse, DL</t>
  </si>
  <si>
    <t>Analysis techniques for coherent airborne radar sounding: Application to West Antarctic ice streams</t>
  </si>
  <si>
    <t>JOURNAL OF GEOPHYSICAL RESEARCH-SOLID EARTH</t>
  </si>
  <si>
    <t>SYNTHETIC-APERTURE RADAR; DEPTH SOUNDER; CREVASSES; SHELF; SHEET; FIELD</t>
  </si>
  <si>
    <t>[ 1] Analysis of coherent radar sounding echoes from polar ice sheets can provide information suitable for classifying the subglacial environment. Echoes from a general interface consist of both specularly reflected and diffusely scattered contributions. Specular reflection results from smooth uniform interfaces, whereas diffuse scattering results from rough nonuniform interfaces and inhomogeneous media. This article discusses how these phenomena are important to the acquisition and analysis of coherent radar sounding data. Reflection results are presented from airborne surveys conducted in 1987 over the downstream portions of Whillans Ice Stream and Ice Stream C, West Antarctica. Additionally, reflection and scattering analyses along with new results are presented for repeat profiles flown in 2001 over Ice Stream C. Analysis methods include using echo amplitudes to compute reflection coefficients which are used for inferring the dielectric properties of the subglacial material. Echo phase analysis provides the locations of dominant scattering centers which relate to reflection or scattering from the interface as well as provide interface roughness estimates. Comparison of low- and high-resolution imaging obtained from synthetic aperture radar techniques indicates a reflecting and/or scattering interface. Combining the results from these independent analyses provides classification of the subglacial environment. Classified regions include smooth seawater, smooth saturated sediments, accreted marine ice, rough bottom crevasses, mixed conditions with partial subglacial water, and dry frozen conditions.</t>
  </si>
  <si>
    <t>Univ Texas, Inst Geophys, Austin, TX 78759 USA</t>
  </si>
  <si>
    <t>University of Texas System; University of Texas Austin</t>
  </si>
  <si>
    <t>Univ Texas, Inst Geophys, 4412 Spicewood Springs Rd,Bldg 600, Austin, TX 78759 USA.</t>
  </si>
  <si>
    <t>mattp@ig.utexas.edu</t>
  </si>
  <si>
    <t>Blankenship, Donald D./G-5935-2010</t>
  </si>
  <si>
    <t>2169-9313</t>
  </si>
  <si>
    <t>2169-9356</t>
  </si>
  <si>
    <t>J GEOPHYS RES-SOL EA</t>
  </si>
  <si>
    <t>J. Geophys. Res.-Solid Earth</t>
  </si>
  <si>
    <t>JUN 9</t>
  </si>
  <si>
    <t>B6</t>
  </si>
  <si>
    <t>B06303</t>
  </si>
  <si>
    <t>10.1029/2004JB003222</t>
  </si>
  <si>
    <t>937ZA</t>
  </si>
  <si>
    <t>WOS:000229965900001</t>
  </si>
  <si>
    <t>Lovenduski, NS; Gruber, N</t>
  </si>
  <si>
    <t>Impact of the Southern Annular Mode on Southern Ocean circulation and biology</t>
  </si>
  <si>
    <t>EXTRATROPICAL CIRCULATION; CLIMATE-CHANGE; SEA-ICE; VARIABILITY; HEMISPHERE; VACILLATION; TEMPERATURE; LATITUDE; WIND; WAVE</t>
  </si>
  <si>
    <t>We investigate the impact of the Southern Annular Mode (SAM) on surface wind, sea surface temperature (SST), and surface chlorophyll concentration on intraseasonal to interannual timescales in the Southern Ocean using 8-day average satellite observations. Positive phases of the SAM are associated with enhanced westerly winds over the Antarctic Zone (AZ) and Polar Frontal Zone, driving increased equatorward Ekman transport and cold SST anomalies in these regions. Positive SAM is also associated with easterly wind and warm SST anomalies in the Subtropical Zone. South of the Antarctic Polar Front (APF), chlorophyll concentration anomalies are positively correlated with the SAM, however this correlation is negative north of the APF. We suggest that the positive correlation in the AZ is due to the increased supply of iron by upwelling, while the negative correlation north of the APF is caused by stronger light limitation as a consequence of deeper mixed layers.</t>
  </si>
  <si>
    <t>Univ Calif Los Angeles, Dept Atmospher &amp; Ocean Sci, Los Angeles, CA 90095 USA; Univ Calif Los Angeles, Inst Geophys &amp; Planetary Phys, Los Angeles, CA 90024 USA</t>
  </si>
  <si>
    <t>University of California System; University of California Los Angeles; University of California System; University of California Los Angeles</t>
  </si>
  <si>
    <t>Univ Calif Los Angeles, Dept Atmospher &amp; Ocean Sci, 405 Hilgard Ave,Box 951565, Los Angeles, CA 90095 USA.</t>
  </si>
  <si>
    <t>nikki@atmos.ucla.edu</t>
  </si>
  <si>
    <t>Gruber, Nicolas/B-7013-2009; Lovenduski, Nicole/V-4014-2019</t>
  </si>
  <si>
    <t>Gruber, Nicolas/0000-0002-2085-2310; Lovenduski, Nicole/0000-0001-5893-1009</t>
  </si>
  <si>
    <t>JUN 8</t>
  </si>
  <si>
    <t>L11603</t>
  </si>
  <si>
    <t>10.1029/2005GL022727</t>
  </si>
  <si>
    <t>937YM</t>
  </si>
  <si>
    <t>WOS:000229963800005</t>
  </si>
  <si>
    <t>Allen, CS; Pike, J; Pudsey, CJ; Leventer, A</t>
  </si>
  <si>
    <t>Submillennial variations in ocean conditions during deglaciation based on diatom assemblages from the southwest Atlantic</t>
  </si>
  <si>
    <t>ANTARCTIC CIRCUMPOLAR CURRENT; SEA-ICE EXTENT; SOUTHERN-OCEAN; THERMOHALINE CIRCULATION; LAST DEGLACIATION; THALASSIOSIRA-ANTARCTICA; SURFACE SEDIMENTS; EAST ANTARCTICA; AGE CALIBRATION; INDIAN SECTOR</t>
  </si>
  <si>
    <t>[1] We present a high-resolution paleoceanographic record of deglaciation based on diatom assemblages from a core located just south of the Polar Front in the southwest Atlantic. Core KC073 is from a sediment drift at the mouth of the Falkland Trough and contains sediments from the Last Glacial Maximum (LGM) to present, dated using radiocarbon dates on bulk organic matter and radiolarian stratigraphy. The site lies along the path of the Antarctic Circumpolar Current (ACC) and immediately downstream of where North Atlantic Deep Water (NADW) is entrained into the ACC. Significant variations in ocean conditions are reflected in high-amplitude changes in diatom concentrations and assemblage composition. The diatom assemblage at the LGM indicates that winter sea ice extent was at least 5 degrees farther north than present until at least 19.0 ka ( calendar years) and summer sea ice may have occasionally extended over the site, but for the most part it lay to the south. During deglaciation, Chaetoceros resting spores (CRS) dominate the diatom assemblage with valve concentrations in excess of 500 x 10(6) valves per gram. Submillennial-scale variations in the numbers of CRS and Thalassiosira antarctica occur throughout the late deglacial and dominate the changes in diatom concentration. We propose that the influx of CRS is controlled by the flow of NADW over the Falkland Plateau. As such our data provide unique evidence that NADW impacted on this sector of the Southern Ocean during deglaciation. During the Holocene the sedimentation rate dramatically reduced. We suggest that the ACC flow increased over the site and inhibited settling and winnowed the surface sediments.</t>
  </si>
  <si>
    <t>British Antarctic Survey, Cambridge CB3 0ET, England; Cardiff Univ, Dept Earth Sci, Cardiff CF10 3YE, Wales; Colgate Univ, Dept Geol, Hamilton, NY 13346 USA</t>
  </si>
  <si>
    <t>UK Research &amp; Innovation (UKRI); Natural Environment Research Council (NERC); NERC British Antarctic Survey; Cardiff University; Colgate University</t>
  </si>
  <si>
    <t>Allen, CS (corresponding author), British Antarctic Survey, High Cross,Madingley Rd, Cambridge CB3 0ET, England.</t>
  </si>
  <si>
    <t>c.allen@bas.ac.uk</t>
  </si>
  <si>
    <t>Pike, Jennifer/D-2589-2009</t>
  </si>
  <si>
    <t>Pike, Jennifer/0000-0001-9415-6003; Leventer, Amy/0000-0001-9401-0987</t>
  </si>
  <si>
    <t>JUN 4</t>
  </si>
  <si>
    <t>PA2012</t>
  </si>
  <si>
    <t>10.1029/2004PA001055</t>
  </si>
  <si>
    <t>936CR</t>
  </si>
  <si>
    <t>Green Accepted, Bronze, Green Submitted</t>
  </si>
  <si>
    <t>WOS:000229831700002</t>
  </si>
  <si>
    <t>Walton, D</t>
  </si>
  <si>
    <t>Exploring Antarctica - a centennial perspective</t>
  </si>
  <si>
    <t>ANTARCTIC SCIENCE</t>
  </si>
  <si>
    <t>Walton, David/0000-0002-7103-4043</t>
  </si>
  <si>
    <t>0954-1020</t>
  </si>
  <si>
    <t>ANTARCT SCI</t>
  </si>
  <si>
    <t>Antarct. Sci.</t>
  </si>
  <si>
    <t>JUN</t>
  </si>
  <si>
    <t>10.1017/S0954102005002701</t>
  </si>
  <si>
    <t>Environmental Sciences; Geography, Physical; Geosciences, Multidisciplinary</t>
  </si>
  <si>
    <t>Environmental Sciences &amp; Ecology; Physical Geography; Geology</t>
  </si>
  <si>
    <t>945ND</t>
  </si>
  <si>
    <t>WOS:000230508300001</t>
  </si>
  <si>
    <t>Mataloni, G; Vinocur, A; Pinto, PD</t>
  </si>
  <si>
    <t>Abiotic characterization and epilithic communities of a naturally enriched stream at Cierva Point, Antarctic Peninsula</t>
  </si>
  <si>
    <t>Antarctic streams; ecology; epilithon; freshwater algae; nutrients; taxonomic composition</t>
  </si>
  <si>
    <t>KING-GEORGE ISLAND; FRESH-WATER STREAM; HOPE-BAY; SIGNY ISLAND; ALGAE; LAKE; ECOSYSTEMS; PERIPHYTON; CHEMISTRY; ECOLOGY</t>
  </si>
  <si>
    <t>Pinguinera Stream is one of the two main lotic environments of Cierva Point (Antarctic Specially Protected Area No. 134) on the Danco Coast, Antarctic Peninsula. It originates in a large snowfield, flows through a penguin rookery, moss and grass banks, discharging into Cierva Cove. During late Antarctic summer 2003, we sampled the stream at six locations along its course. Abiotic features characterize it as a clear water system, yet receiving a very high amount of PO4-P and NH4-N from the rookery. These nutrients decrease downstream mainly due to uptake by epilithic algae and oxidation of NH4+ to NO3-, consequently lowering pH and dissolved O-2, which was always under-saturated. Strong correlations between all these parameters support these findings. The epilithic algal community shows both temporal and spatial changes in biomass, composition and relative frequencies. Dominant species at the higher reach of the stream are cyanobacteria, mainly Chamaesiphon subglobosus (Rostafinski) Lemm. and a mesh of Leptolyngbya spp. filaments. The chlorophyta Prasiola calophylla (Carmich.) Menegh. dominates the community in oxygenated, fast-flowing reaches. Comparison with the other main stream from Cierva Point, which is not influenced by the rookery, shows that growth and survival of the epilithic community in this area is limited by factors other than nutrient concentrations.</t>
  </si>
  <si>
    <t>UBA, Dept Ecol Genet &amp; Evoluc, Fac Ciencias Exactas &amp; Nat, Buenos Aires, DF, Argentina</t>
  </si>
  <si>
    <t>University of Buenos Aires</t>
  </si>
  <si>
    <t>Mataloni, G (corresponding author), UBA, Dept Ecol Genet &amp; Evoluc, Fac Ciencias Exactas &amp; Nat, Pab 2,C 1428 EHA, Buenos Aires, DF, Argentina.</t>
  </si>
  <si>
    <t>gin@bg.fcen.uba.ar</t>
  </si>
  <si>
    <t>Mataloni, Gabriela/0000-0002-6852-6143</t>
  </si>
  <si>
    <t>1365-2079</t>
  </si>
  <si>
    <t>10.1017/S0954102005002579</t>
  </si>
  <si>
    <t>WOS:000230508300002</t>
  </si>
  <si>
    <t>Ainley, DG; Clarke, ED; Arrigo, K; Fraser, WR; Kato, A; Barton, KJ; Wilson, PR</t>
  </si>
  <si>
    <t>Decadal-scale changes in the climate and biota of the Pacific sector of the Southern Ocean, 1950s to the 1990s</t>
  </si>
  <si>
    <t>Adelie penguin; Antarctic; Antarctic Oscillation; climate change; emperor penguin; minke whale; polynya; regime shift; sea ice; Southern Annular Mode; Weddell seal</t>
  </si>
  <si>
    <t>ANTARCTIC SEA-ICE; TERM POPULATION TRENDS; ROSS SEA; ENVIRONMENTAL-CHANGE; SEABIRD POPULATIONS; PENGUIN POPULATIONS; MARINE ECOSYSTEM; EMPEROR PENGUINS; ADELIE PENGUINS; NORTH-ATLANTIC</t>
  </si>
  <si>
    <t>Simultaneous, but contrary, decadal-scale changes in population trajectories of two penguin species in the western Pacific and Ross Sea sectors of the Southern Ocean, during the early/mid-1970s and again during 1988-89, correspond to changes in weather and sea ice patterns. These in turn are related to shifts in the semi-annual and Antarctic oscillations. Populations of the two ecologically dissimilar penguin species - Adelie Pygoscelis adeliae and emperor Aptenodytes forsteri - have been tallied annually since the 1950s making these the longest biological datasets for the Antarctic. Both species are obligates of sea ice and, therefore, allowing for the demographic lags inherent in the response of long-lived species to habitat or environmental variation, the proximate mechanisms responsible for the shifts involved changes in coastal wind strength and air and sea temperatures, which in turn affected the seasonal fort-nation and decay of sea ice and polynyas. The latter probably affected such rates as the proportion of adults breeding and ultimately the reproductive output of populations in ways consistent with the two species' opposing sea ice needs. Corresponding patterns for the mid-1970s shift were reflected also in ice-obligate Weddell seal Leptonychotes weddelli populations and the structure of shallow-water sponge communities in the Ross Sea. The 1988-89 shift, by which time many more datasets had become available, was reflected among several ice-frequenting vertebrate species from all Southern Ocean sectors. Therefore, the patterns most clearly identified in the Pacific Sector were apparently spread throughout the high latitudes of the Southern Ocean.</t>
  </si>
  <si>
    <t>HT Harvey &amp; Assoc, San Jose, CA 95118 USA; FRS Marine Lab, Aberdeen AB11 9DB, Scotland; Stanford Univ, Dept Geophys, Stanford, CA 94305 USA; Polar Oceans Res Grp, Sheridan, MT 59749 USA; Natl Inst Polar Res, Tokyo 1738515, Japan; Landcare Res New Zealand, Nelson, New Zealand</t>
  </si>
  <si>
    <t>Stanford University; Research Organization of Information &amp; Systems (ROIS); National Institute of Polar Research (NIPR) - Japan; Landcare Research - New Zealand</t>
  </si>
  <si>
    <t>Ainley, DG (corresponding author), HT Harvey &amp; Assoc, 3150 Almaden Expressway,Suite 145, San Jose, CA 95118 USA.</t>
  </si>
  <si>
    <t>dainley@penguinscience.com</t>
  </si>
  <si>
    <t>Kato, Akiko/W-2447-2019</t>
  </si>
  <si>
    <t>Arrigo, Kevin/0000-0002-7364-876X; Kato, Akiko/0000-0002-8947-3634</t>
  </si>
  <si>
    <t>10.1017/S0954102005002567</t>
  </si>
  <si>
    <t>WOS:000230508300003</t>
  </si>
  <si>
    <t>Lewis, PN; Riddle, MJ; Smith, SDA</t>
  </si>
  <si>
    <t>Assisted passage or passive drift: a comparison of alternative transport mechanisms for non-indigenous coastal species into the Southern Ocean</t>
  </si>
  <si>
    <t>Antarctica; bio-invasion; hull fouling; introduced; plastic debris; sub-Antarctic islands; transport pathway</t>
  </si>
  <si>
    <t>BIOLOGICAL INVASIONS; ISLANDS; DEBRIS; ANTARCTICA; MYTILUS; IMPACTS</t>
  </si>
  <si>
    <t>The introduction of invasive species may be the most profound modem threat to biological communities in high-latitude regions. In the Southern Ocean, the natural transport mechanism for shallow-water marine organisms provided by kelp rafts is being increasingly augmented by plastic debris and shipping activity. Plastic debris provide additional opportunities for dispersal of invasive organisms, but dispersal routes are passive, dependent on ocean currents, and already established. In contrast, ships create novel pathways, moving across cut-rents and often visiting many locations over short periods of time. Transportation of hull-fouling communities by vessel traffic thus poses the most likely mechanism by which exotic species may be introduced to the Southern Ocean.</t>
  </si>
  <si>
    <t>Univ Tasmania, Inst Antarctic &amp; So Ocean Studies, Hobart, Tas 7001, Australia; Australian Antarctic Div, Human Impacts Res Program, Kingston, Tas 7050, Australia; Univ New England, Sch Environm Sci &amp; Nat Resource Management, Natl Marine Sci Ctr, Coffs Harbour, NSW 2450, Australia</t>
  </si>
  <si>
    <t>University of Tasmania; Australian Antarctic Division; University of New England; Southern Cross University</t>
  </si>
  <si>
    <t>Univ Tasmania, Inst Antarctic &amp; So Ocean Studies, Private Bag 77, Hobart, Tas 7001, Australia.</t>
  </si>
  <si>
    <t>plewis@utas.edu.au</t>
  </si>
  <si>
    <t>Smith, Stephen D A/I-1945-2012</t>
  </si>
  <si>
    <t>Smith, Stephen D A/0000-0002-3372-5441</t>
  </si>
  <si>
    <t>10.1017/S0954102005002580</t>
  </si>
  <si>
    <t>WOS:000230508300004</t>
  </si>
  <si>
    <t>Shim, J; Han, MW; Kang, YC; Kim, D</t>
  </si>
  <si>
    <t>Biogeochemical cycle of organic matter in a subtidal benthic environment in Marian Cove, King George Island, Antarctica</t>
  </si>
  <si>
    <t>biogenic particle; lithogenic particle; metal flux; particle flux; Southern Ocean</t>
  </si>
  <si>
    <t>WESTERN BRANSFIELD STRAIT; SOUTH-SHETLAND-ISLANDS; PARTICLE-FLUX; PARTICULATE MATTER; ROSS-SEA; BIOGENIC SILICA; LATERNULA-ELLIPTICA; SEDIMENT TRAPS; PACIFIC SECTOR; VERTICAL FLUX</t>
  </si>
  <si>
    <t>The flux and composition of settling particles were measured in a subtidal benthic environment of Marian Cove, King George Island, from February 1998 January 2000. The total mass flux ranged between 2.47 g m(-2) d(-1) (August and September 1998) and 21.97 g m(-2) d-1 (February 1999), and showed distinct seasonal variation: high in the summer and low in winter. Lithogenic particles constituted 70-95% of the total particles, while biogenic particles represented only 10%, except in spring when biogenic particles made up more than 30%. The fluxes of organic carbon, biogenic silica, nitrogen, and organic phosphorus all peaked in spring rather than in summer, with ranges of 4.4-34.0, 1.2-23.5, 0.48-5.56, and 0.01-0.15 mmol m(-2) d(-1), respectively. Fluxes of metals (Al, Ti, Cu, Cd, and Pb) showed temporal variability, similar to that of the total mass flux, but each metal had different enrichment factor (EF) values. The EF value of Cu correlated positively with fluxes in lithogenic components, while the EF value of Cd correlated with biogenic particle fluxes. The Cu flux is mainly related to substantial inflows of melt water laden with Cu-enriched lithogenic particles. The Cd flux is probably associated with organic matter deposition following phytoplankton blooms in the water column.</t>
  </si>
  <si>
    <t>KORDI, Polar Res Inst, Seoul 425600, South Korea; Columbus State Commun Coll, Dept Biol &amp; Phys Sci, Columbus, OH 43215 USA</t>
  </si>
  <si>
    <t>Korea Institute of Ocean Science &amp; Technology (KIOST); Columbus State Community College</t>
  </si>
  <si>
    <t>Shim, J (corresponding author), KORDI, Polar Res Inst, POB 29, Seoul 425600, South Korea.</t>
  </si>
  <si>
    <t>jhshim@kordi.re.kr</t>
  </si>
  <si>
    <t>Shim, JeongHee/0000-0003-0699-9145</t>
  </si>
  <si>
    <t>10.1017/S0954102005002592</t>
  </si>
  <si>
    <t>WOS:000230508300005</t>
  </si>
  <si>
    <t>Frenot, Y; Bergstrom, DM; Gloaguen, JC; Tavenard, R; Strullu, DG</t>
  </si>
  <si>
    <t>The first record of mycorrhizae on sub-Antarctic Heard Island: a preliminary examination</t>
  </si>
  <si>
    <t>colonization; Glomales; plant nutrition; symbiosis</t>
  </si>
  <si>
    <t>PLANTS; ECTOMYCORRHIZAL; ECOSYSTEMS; ABUNDANCE; NITROGEN; HISTORY; TUNDRA; FUNGI</t>
  </si>
  <si>
    <t>Roots of nine of the 12 vascular plant species present on sub-Antarctic Heard Island were examined for mycorrhizae. All species examined had some type of mycorrhization with most possessing associations with vesicular-arbuscular mycorrhizae or dark septate mycorrhizae. The degree of mycorrhization varied considerably across sites. Sampled plants were growing on either morainic or beach substrates with some areas exposed only in the last century. As mycorrhizae are known to play an important role in the nutrient uptake by host-plants, these results support the idea that mycorrhizae can influence the capacities of plants to colonize in cold and low-nutrient environments such as sub-Antarctic glacier forelands. Comparisons with data from other sub-Antarctic islands are made.</t>
  </si>
  <si>
    <t>Univ Rennes 1, Biol Stn, CNRS, UMR 6553 Ecobio,Campus Beaulieu, F-35380 Paimpont, France; Australian Antarctic Div, Kingston, Tas 7050, Australia; Univ Angers, Lab Biol &amp; Physiol Vegetales, F-49045 Angers, France</t>
  </si>
  <si>
    <t>Centre National de la Recherche Scientifique (CNRS); CNRS - Institute of Ecology &amp; Environment (INEE); Universite de Rennes; Australian Antarctic Division; Universite d'Angers</t>
  </si>
  <si>
    <t>Frenot, Y (corresponding author), Univ Rennes 1, Biol Stn, CNRS, UMR 6553 Ecobio,Campus Beaulieu, F-35380 Paimpont, France.</t>
  </si>
  <si>
    <t>yves.frenot@univ-rennes1.fr</t>
  </si>
  <si>
    <t>Bergstrom, Dana/AAC-2837-2022</t>
  </si>
  <si>
    <t>Bergstrom, Dana/0000-0001-8484-8954; Frenot, Yves/0000-0003-2666-1272</t>
  </si>
  <si>
    <t>10.1017/S0954102005002609</t>
  </si>
  <si>
    <t>WOS:000230508300006</t>
  </si>
  <si>
    <t>Kawaguchi, S; Kasamatsu, N; Watanabe, S; Odate, T; Fukuchi, M; Nicol, S</t>
  </si>
  <si>
    <t>Sea ice changes inferred from methanesulphonic acid (MSA) variation in East Antarctic ice cores: are krill responsible?</t>
  </si>
  <si>
    <t>PHYTOPLANKTON; OCEAN; DIMETHYLSULFIDE; DECLINE; EXTENT; SULFUR</t>
  </si>
  <si>
    <t>Australian Antarctic Div, Kingston, Tas 7050, Australia; Grad Univ Adv Studies, Itabashi Ku, Tokyo 1738515, Japan; Japan Agcy Marine Earth Sci &amp; Technol, Mutsu 0350022, Japan; Natl Inst Polar Res, Itabashi Ku, Tokyo 1738515, Japan</t>
  </si>
  <si>
    <t>Australian Antarctic Division; Graduate University for Advanced Studies - Japan; Japan Agency for Marine-Earth Science &amp; Technology (JAMSTEC); Research Organization of Information &amp; Systems (ROIS); National Institute of Polar Research (NIPR) - Japan</t>
  </si>
  <si>
    <t>Kawaguchi, S (corresponding author), Australian Antarctic Div, Channel Highway, Kingston, Tas 7050, Australia.</t>
  </si>
  <si>
    <t>So.Kawaguchi@aad.gov.au</t>
  </si>
  <si>
    <t>Kawaguchi, So/N-1795-2017</t>
  </si>
  <si>
    <t>Kawaguchi, So/0000-0002-2042-5095</t>
  </si>
  <si>
    <t>10.1017/S0954102005002610</t>
  </si>
  <si>
    <t>WOS:000230508300007</t>
  </si>
  <si>
    <t>Muñoz-Martín, A; Catalán, M; Martín-Dávila, J; Carbó, A</t>
  </si>
  <si>
    <t>Upper crustal structure of Deception Island area (Bransfield Strait, Antarctica) from gravity and magnetic modelling</t>
  </si>
  <si>
    <t>Euler deconvolution; gravity and magnetic anomalies; marine survey; potential field modelling</t>
  </si>
  <si>
    <t>SOUTH SHETLAND ISLANDS; WEST ANTARCTICA; BACKARC BASIN; PENINSULA; EVOLUTION; OCEAN; MORPHOSTRUCTURE; CALDERA; MARGIN; FIELD</t>
  </si>
  <si>
    <t>Deception Island is a young, active volcano located in the south-western part of Bransfield Strait, between the Antarctic Peninsula and the South Shetland archipelago. New gravity and magnetic data, from a marine geophysical cruise (DECVOL-99), were analysed. Forty-eight survey lines were processed and mapped around Deception Island to obtain Bouguer and magnetic anomaly maps. These maps show well-defined groups of gravity and magnetic anomalies, as well as their gradients. To constrain the upper crustal structure, we have performed 2+1/2D forward modelling on three profiles perpendicular to the main anomalies of the area, and taking into account previously published seismic information. From the gravity and magnetic models, two types of crust were identified. These were interpreted as continental crust (located north of Deception Island) and more basic crust (south of Deception Island). The transition between these crustal types is evident in the Bouguer anomaly map as a high gradient area trending NE-SW. Both magnetic and gravity data show a wide minimum at the eastern part of Deception Island, which suggests a very low bulk susceptibility and low density intrusive body. With historical recorded eruptions and thermal and fumarolic fields, we interpret this anomaly as a partially melted intrusive body. Its top has been estimated to be at 1.7 km depth using Euler deconvolution techniques.</t>
  </si>
  <si>
    <t>Univ Complutense Madrid, Fac Geol, Dept Geodinm, Madrid 28040, Spain; Real Inst Observat Armada, Cadiz 11100, Spain</t>
  </si>
  <si>
    <t>Complutense University of Madrid</t>
  </si>
  <si>
    <t>Univ Complutense Madrid, Fac Geol, Dept Geodinm, Madrid 28040, Spain.</t>
  </si>
  <si>
    <t>amunoz@geo.ucm.es</t>
  </si>
  <si>
    <t>Muñoz-Martin, Alfonso/Y-1776-2019; Catalan, Manuel/R-6956-2018</t>
  </si>
  <si>
    <t>Muñoz-Martin, Alfonso/0000-0002-5302-5119; Catalan, Manuel/0000-0001-9691-7101</t>
  </si>
  <si>
    <t>10.1017/S0954102005002622</t>
  </si>
  <si>
    <t>Green Accepted</t>
  </si>
  <si>
    <t>WOS:000230508300008</t>
  </si>
  <si>
    <t>Hättestrand, C; Johansen, N</t>
  </si>
  <si>
    <t>Supraglacial moraines in Scharffenbergbotnen, Heimefrontfjella, Dronning Maud Land, Antarctica -: significance for reconstructing former blue ice areas</t>
  </si>
  <si>
    <t>glacial geomorphology; last glacial maximum; supraglacial debris</t>
  </si>
  <si>
    <t>LAST GLACIAL MAXIMUM; EAST ANTARCTICA; METEORITE FINDS; ALLAN HILLS; SHEET; BALANCE; GENESIS; DEBRIS; FIELD</t>
  </si>
  <si>
    <t>The ice surface of the glacier in the 7 km long valley Scharffenbergbotnen in Heimefrontfjella, Dronning Maud Land, is characterized by blue ice fields and is partly covered by supraglacial moraine complexes. The debris cover of the supraglacial moraines is generally less than 50 cm thick and rests on glacial ice, and most of the surface morphology of ridges and numerous sink holes reflects irregularities in the underlying ice. The debris consists of angular to sub-angular clasts of local bedrock. We interpret the moraines to have an entirely supraglacial history, where colluvium and pre-existing moraines were brought into Scharffenbergbotnen primarily from the south/south-west by an advancing glacier during the last ice maximum in the region. The debris cover of the supraglacial moraines extends up to 200-250 m above the present ice surface on surrounding slopes in Scharffenbergbotnen, and generally to less than 100 in above the present ice surface on slopes outside the valley. We interpret this as marking the ice surface elevation in the area during the last ice maximum (probably LGM). The deposition of supraglacial moraines in the valley at that time, and their survival in the area until the present day, indicate that a local ablation centre and probably blue ice fields were present in Scharffenbergbotnen at LGM, and has been a persistent feature since. In a wider context, we argue that supraglacial moraines constitute a hitherto unexploited resource when reconstructing the former extent of blue ice areas.</t>
  </si>
  <si>
    <t>Univ Stockholm, Dept Phys Geog &amp; Quaternary Geol, S-10691 Stockholm, Sweden</t>
  </si>
  <si>
    <t>Stockholm University</t>
  </si>
  <si>
    <t>Hättestrand, C (corresponding author), Univ Stockholm, Dept Phys Geog &amp; Quaternary Geol, S-10691 Stockholm, Sweden.</t>
  </si>
  <si>
    <t>clas.hattestrand@natgeo.su.se</t>
  </si>
  <si>
    <t>10.1017/S0954102005002634</t>
  </si>
  <si>
    <t>WOS:000230508300009</t>
  </si>
  <si>
    <t>Fang, AM; Liu, XH; Li, XL; Huang, FX; Yu, LJ</t>
  </si>
  <si>
    <t>Cenozoic glaciogenic sedimentary record in the Grove Mountains of East Antarctica</t>
  </si>
  <si>
    <t>erratic boulder; Lambert Glacier; moraine; palaeosol; Prydz Bay</t>
  </si>
  <si>
    <t>PLIOCENE SORSDAL FORMATION; TRANSANTARCTIC MOUNTAINS; VESTFOLD HILLS; SIRIUS GROUP; ICE-SHEET; MARINE; STRATIGRAPHY</t>
  </si>
  <si>
    <t>During fieldwork of the 1998-99 and 1999-2000 Chinese National Antarctic Research Expedition (CHINARE), three different kinds of Cenozoic sedimentary record were found in the Grove Mountains, which are in East Antarctica about 450km inland of Prydz Bay. These consist of (1) glaciogenic sedimentary erratics found in the moraine banks in the central area of Grove Mountains, which can be subdivided into four types according to different degrees of lithification as well as differences in inner structure and include in-situ diamicts; (2) palaeosols found in several small depressions in the southern slope of the Mount Harding; and (3) different kinds of glacial moraine floating on the surface of blue ice or around the foot of some nunataks. Preliminary results suggest that the in situ glaciogenic sediments were formed in the ice-sheet frontal area by the interaction of glacial movement and ice sheet melt water under climatic conditions warmer than today.</t>
  </si>
  <si>
    <t>Chinese Acad Sci, Inst Geol &amp; Geophys, Beijing 100029, Peoples R China; Chinese Acad Sci, Inst Tibet Res, Beijing 100029, Peoples R China</t>
  </si>
  <si>
    <t>Chinese Academy of Sciences; Institute of Geology &amp; Geophysics, CAS; Chinese Academy of Sciences</t>
  </si>
  <si>
    <t>Fang, AM (corresponding author), Chinese Acad Sci, Inst Geol &amp; Geophys, Beijing 100029, Peoples R China.</t>
  </si>
  <si>
    <t>10.1017/S0954102005002646</t>
  </si>
  <si>
    <t>WOS:000230508300010</t>
  </si>
  <si>
    <t>Retallack, GJ; Jahren, AH; Sheldon, ND; Chakrabarti, R; Metzger, CA; Smith, RMH</t>
  </si>
  <si>
    <t>The Permian-Triassic boundary in Antarctica</t>
  </si>
  <si>
    <t>carbon isotope; Dicroidium; Glossopteris; Lystrosaurus; palaeosol</t>
  </si>
  <si>
    <t>CENTRAL TRANSANTARCTIC MOUNTAINS; SOUTHERN VICTORIA LAND; ORGANIC-CARBON ISOTOPE; MASS EXTINCTION; SYDNEY BASIN; KAROO BASIN; GLOSSOPTERID FRUCTIFICATIONS; LIVINGSTON ISLAND; WILLIAMS POINT; IMPACT CRATER</t>
  </si>
  <si>
    <t>The Permian ended with the largest of known mass extinctions in the history of life. This signal event has been difficult to recognize in Antarctic non-marine rocks, because the boundary with the Triassic is defined by marine fossils at a stratotype section in China. Late Permian leaves (Glossopteris) and roots Vertebraria), and Early Triassic leaves (Dicroidium) and vertebrates (Lystrosaurus) roughly constrain the Permian-Triassic boundary in Antarctica. Here we locate the boundary in Antarctica more precisely using carbon isotope chemostratigraphy and total organic carbon analyses in six measured sections from Allan Hills, Shapeless Mountain, Mount Crean, Portal Mountain, Coalsack Bluff and Graphite Peak. Palaeosols and root traces also are useful for recognizing the Permian-Triassic boundary because there was a complete turnover in terrestrial ecosystems and their soils. A distinctive kind of palaeosol with berthierine nodules, the Dolores pedotype, is restricted to Early Triassic rocks. Late Permian and Middle Triassic root traces are carbonaceous, whereas those of the Early Triassic are replaced by claystone or silica. Antarctic Permian Triassic sequences are among the most complete known, judging from the fine structure and correlation of carbon isotope anomalies.</t>
  </si>
  <si>
    <t>Univ Oregon, Dept Geol Sci, Eugene, OR 97403 USA; Johns Hopkins Univ, Dept Earth &amp; Planetary Sci, Baltimore, MD 21218 USA; Univ Rochester, Dept Earth &amp; Environm Sci, Rochester, NY 14627 USA; S African Museum, Dept Earth Sci, ZA-8000 Cape Town, South Africa</t>
  </si>
  <si>
    <t>University of Oregon; Johns Hopkins University; University of Rochester</t>
  </si>
  <si>
    <t>Univ Oregon, Dept Geol Sci, Eugene, OR 97403 USA.</t>
  </si>
  <si>
    <t>gregr@darkwing.uoregon.edu</t>
  </si>
  <si>
    <t>Smith, Roger/AAF-7947-2019; Sheldon, Nathan D/K-6717-2015</t>
  </si>
  <si>
    <t>Sheldon, Nathan D/0000-0003-3371-0036</t>
  </si>
  <si>
    <t>10.1017/S0954102005002658</t>
  </si>
  <si>
    <t>WOS:000230508300011</t>
  </si>
  <si>
    <t>Stephenson, J; Budd, GM; Manning, J; Hansbro, P</t>
  </si>
  <si>
    <t>Major eruption-induced changes to the McDonald Islands, southern Indian Ocean</t>
  </si>
  <si>
    <t>fauna; king penguin; lava domes; lava spines; ship hazards; sub-Antarctic; volcanism</t>
  </si>
  <si>
    <t>The McDonald Islands (53 degrees S, 73 degrees E) originally comprised three small islands that lie on the Kerguelen Plateau, 44 km west of Heard Island. No volcanic activity was observed since their discovery in 1874 until 1997, when two passing ships recorded major changes and eruptive behaviour. A 2001 satellite image showed that the main island had doubled its area. This paper reports observations made from a cruise ship in November 2002, supplemented by a high-resolution satellite image acquired in March 2003. A new volcanic complex comprises lava domes, spines and flows, all assumed to be phonolitic, similar to the older volcanic rocks. The complex shows dormant volcanic activity, with numerous fumaroles, recent spine evolution and lava flows. Changes in relative sea level have connected Flat and McDonald Islands. A spit about 1km long with extensive shoals beyond, now extends eastward from McDonald Island and presents new hazards to shipping. Biological changes include colonization by king penguins (Aptenodytes patagonica), previously absent, and a large reduction in numbers of formerly widespread macaroni penguins (Eudyptes chrysolophus chrysolophus).</t>
  </si>
  <si>
    <t>James Cook Univ N Queensland, Dept Earth Sci, Townsville, Qld 4811, Australia; Univ Sydney, Fac Hlth Sci, Sch Exercise &amp; Sport Sci, Lidcombe, NSW 2141, Australia; Geosci Australia, Canberra, ACT 2601, Australia; Univ Newcastle, Dept Immunol &amp; Microbiol, Fac Med &amp; Hlth Sci, Royal Newcastle Hosp, Newcastle, NSW 2300, Australia</t>
  </si>
  <si>
    <t>James Cook University; University of Sydney; Geoscience Australia; University of Newcastle</t>
  </si>
  <si>
    <t>James Cook Univ N Queensland, Dept Earth Sci, Townsville, Qld 4811, Australia.</t>
  </si>
  <si>
    <t>jon.stephenson@jcu.edu.au</t>
  </si>
  <si>
    <t>Hansbro, Phil/G-7486-2013</t>
  </si>
  <si>
    <t>Hansbro, Phil/0000-0002-4741-3035</t>
  </si>
  <si>
    <t>10.1017/S095410200500266X</t>
  </si>
  <si>
    <t>WOS:000230508300012</t>
  </si>
  <si>
    <t>Cichowolski, M; Ambrosio, A; Concheyro, A</t>
  </si>
  <si>
    <t>Nautilids from the Upper Cretaceous of the James Ross Basin, Antarctic Peninsula</t>
  </si>
  <si>
    <t>campanian; embryonic conch; Eutrephoceras; Maastrichtian; palaeoecology; Seymour Group</t>
  </si>
  <si>
    <t>ISLAND; STRATIGRAPHY; PATTERNS; STRENGTH; FOSSIL; DEPTH; MODEL</t>
  </si>
  <si>
    <t>To date, Cretaceous nautilids from the Antarctic Peninsula have received little attention and only a single species had been reported, Eutrephoceras simile Spath, from Seymour, Snow Hill, and James Ross islands. Currently, it is considered a synonym of Eutrephoceras subplicatum (Steinmann), which has also been described from the Upper Cretaceous of central Chile, southern Argentina and Angola. Here, we report and describe E. subplicatum in detail, based on specimens from the Lower Campanian-Maastrichtian of Vega, Seymour and James Ross islands, presenting, for the first time, embryonic conch features related to the palaeoecology of these organisms. The nauta of this species had a diameter of approximately 30 mm with 5-6 septa. In addition, we describe a new species, Eutrephoceras antarcticum, and one specimen assigned to the same genus in open nomenclature, both recovered from the Lower Campanian beds of James Ross Island.</t>
  </si>
  <si>
    <t>Univ Buenos Aires, Dept Ciencias Geol, RA-1428 Buenos Aires, DF, Argentina; Consejo Nacl Invest Cient &amp; Tecn, RA-1033 Buenos Aires, DF, Argentina; Museo Argentino Ciencias Nat Bernard Rivadavia, Lab Anat Comparada &amp; Evoluc Vertebrados, RA-1405 Buenos Aires, DF, Argentina; Inst Antart Argentino, RA-1010 Buenos Aires, DF, Argentina</t>
  </si>
  <si>
    <t>University of Buenos Aires; Consejo Nacional de Investigaciones Cientificas y Tecnicas (CONICET); Museo Argentino de Ciencias Naturales Bernardino Rivadavia (MACN); Instituto Antartico Argentino</t>
  </si>
  <si>
    <t>Univ Buenos Aires, Dept Ciencias Geol, Ciudad Univ,Pabellon 2, RA-1428 Buenos Aires, DF, Argentina.</t>
  </si>
  <si>
    <t>mcicho@gl.fcen.uba.ar</t>
  </si>
  <si>
    <t>Cichowolski, Marcela/JVD-5782-2023</t>
  </si>
  <si>
    <t>10.1017/S0954102005002671</t>
  </si>
  <si>
    <t>WOS:000230508300013</t>
  </si>
  <si>
    <t>Oerlemans, J</t>
  </si>
  <si>
    <t>Antarctic ice volume for the last 740 ka calculated with a simple ice sheet model</t>
  </si>
  <si>
    <t>Antarctic ice sheet; EPICA; ice-core records; ice volume</t>
  </si>
  <si>
    <t>TEMPERATURE; CALIBRATION</t>
  </si>
  <si>
    <t>Fluctuations in the volume of the Antarctic ice sheet for the last 740 ka are calculated by forcing a simple ice sheet model with a sea-level history (from a composite deep sea delta O-18 record) and a temperature history (from the Dome C deuterium record). Antarctic ice volume reaches maximum values of about 30 x 10(15) m(3), 3 to 8 ka after glacial maxima [defined as maximum values of the deep sea delta O-18 record]. Minimum values of ice volume reached in the course of interglacial periods are about 26 x 10(15) m(3). Most of the time the temperature forcing (larger accumulation) and sea-level forcing (grounding-line retreat) tend to have competing effects. However, towards the end of a glacial cycle, when temperature rises and sea-level is still relatively low, the ice volume reaches a peak. The peak value is very sensitive to the relative phase of the sea-level forcing with respect to the temperature forcing. This is further studied by looking at the response of the model to purely periodic forcings with different relative phase. The large sensitivity of ice sheet size to the phase of the forcings may have some implications for dating of deep ice cores. Care has to be taken by using anchor points from the deep sea record.</t>
  </si>
  <si>
    <t>Univ Utrecht, IMAU, NL-3584 CC Utrecht, Netherlands</t>
  </si>
  <si>
    <t>Oerlemans, J (corresponding author), Univ Utrecht, IMAU, Princetonpl 5, NL-3584 CC Utrecht, Netherlands.</t>
  </si>
  <si>
    <t>j.oerlemans@phys.uu.nl</t>
  </si>
  <si>
    <t>Oerlemans, Johannes/G-3802-2011</t>
  </si>
  <si>
    <t>10.1017/S0954102005002683</t>
  </si>
  <si>
    <t>WOS:000230508300014</t>
  </si>
  <si>
    <t>Grotti, M; Soggia, F; Ianni, C; Frache, R</t>
  </si>
  <si>
    <t>Trace metals distributions in coastal sea ice of Terra Nova Bay, Ross Sea, Antarctica</t>
  </si>
  <si>
    <t>cadmium; copper; iron; lead; manganese; sea ice; solid speciation</t>
  </si>
  <si>
    <t>SOUTHERN-OCEAN; IRON LIMITATION; SHELF WATERS; WEDDELL SEA; PACK ICE; PHYTOPLANKTON; BLOOMS; CHLOROPHYLL; ENVIRONMENT; NUTRIENTS</t>
  </si>
  <si>
    <t>In an attempt to clarify the release of trace elements from the seasonal coastal sea ice, samples were periodically collected in a nearshore station inside the Gerlache Inlet (Terra Nova Bay, Western Ross Sea), during the summer 2000/01 and analysed for dissolved and particulate cadmium, copper, iron, manganese and lead, as well as salinity, suspended particulate matter, nutrients and phytoplankton pigments. In order to provide insight on the metal association with the particles included in the sea ice, the metal solid speciation was also investigated. Both vertical distributions within the ice cores and temporal variations at the seawater interface were studied, in an effort to fully characterize the system and correlation among the considered parameters. Concentrations and speciation patterns clearly indicate metal incorporation within the annual sea ice due to resuspension of sediments, followed by release of particulate metals during melting as a primary process affecting trace metal availability in the Antarctic coastal waters.</t>
  </si>
  <si>
    <t>Univ Genoa, Dept Chem &amp; Ind Chem, I-16146 Genoa, Italy</t>
  </si>
  <si>
    <t>University of Genoa</t>
  </si>
  <si>
    <t>Grotti, M (corresponding author), Univ Genoa, Dept Chem &amp; Ind Chem, Via Dodecaneso 31, I-16146 Genoa, Italy.</t>
  </si>
  <si>
    <t>grotti@chimica.unige.it</t>
  </si>
  <si>
    <t>Grotti, Marco/HGU-3949-2022</t>
  </si>
  <si>
    <t>Grotti, Marco/0000-0001-6956-5761</t>
  </si>
  <si>
    <t>10.1017/S0954102005002695</t>
  </si>
  <si>
    <t>WOS:000230508300015</t>
  </si>
  <si>
    <t>Lugg, DJ</t>
  </si>
  <si>
    <t>Behavioral health in Antarctica: Implications for long-duration space missions</t>
  </si>
  <si>
    <t>AVIATION SPACE AND ENVIRONMENTAL MEDICINE</t>
  </si>
  <si>
    <t>Workshop on New Directions in Spaceflight Behavioral Health</t>
  </si>
  <si>
    <t>DEC 02-03, 2003</t>
  </si>
  <si>
    <t>Davis, CA</t>
  </si>
  <si>
    <t>behavioral health; Antarctica; extreme environments; isolation; analogue; space</t>
  </si>
  <si>
    <t>PSYCHOLOGY</t>
  </si>
  <si>
    <t>Ideally, evidence from long-duration spaceflight should be used to predict likely occurrences of behavioral health events and for planning management strategies for such events. With small numbers of space travelers, and limited long-duration missions of a year or more, Earth analogues and simulations must be used as the evidence base, despite such analogues lacking microgravity, radiation, rapidly altering photoperiodicity, and fidelity to space. Antarctic health data are reviewed and an assessment made of the likely frequency of behavioral health events. Based on the Antarctic evidence, the likelihood of behavioral health problems in space is low. However, such cases may be serious and of high consequence, placing considerable demands on the mission crew and ground support to achieve a successful outcome, given the availability of pharmaceuticals and resources.</t>
  </si>
  <si>
    <t>NASA HQ, Off Chief Hlth &amp; Med Officer, Washington, DC 20546 USA</t>
  </si>
  <si>
    <t>National Aeronautics &amp; Space Administration (NASA)</t>
  </si>
  <si>
    <t>Lugg, DJ (corresponding author), NASA HQ, Off Chief Hlth &amp; Med Officer, 300 E St SW, Washington, DC 20546 USA.</t>
  </si>
  <si>
    <t>desmond.j.lugg@nasa.gov</t>
  </si>
  <si>
    <t>AEROSPACE MEDICAL ASSOC</t>
  </si>
  <si>
    <t>ALEXANDRIA</t>
  </si>
  <si>
    <t>320 S HENRY ST, ALEXANDRIA, VA 22314-3579 USA</t>
  </si>
  <si>
    <t>0095-6562</t>
  </si>
  <si>
    <t>1943-4448</t>
  </si>
  <si>
    <t>AVIAT SPACE ENVIR MD</t>
  </si>
  <si>
    <t>Aviat. Space Environ. Med.</t>
  </si>
  <si>
    <t>S</t>
  </si>
  <si>
    <t>B74</t>
  </si>
  <si>
    <t>B77</t>
  </si>
  <si>
    <t>Public, Environmental &amp; Occupational Health; Medicine, General &amp; Internal; Sport Sciences</t>
  </si>
  <si>
    <t>Public, Environmental &amp; Occupational Health; General &amp; Internal Medicine; Sport Sciences</t>
  </si>
  <si>
    <t>933GJ</t>
  </si>
  <si>
    <t>WOS:000229616600011</t>
  </si>
  <si>
    <t>Musson, DM; Helmreich, RL</t>
  </si>
  <si>
    <t>Long-term personality data collection in support of spaceflight and analogue research</t>
  </si>
  <si>
    <t>personality traits; data collection; spaceflight research; analogue research</t>
  </si>
  <si>
    <t>PSYCHOLOGY; PREDICTORS</t>
  </si>
  <si>
    <t>This is a review of past and present research into personality and performance at the University of Texas (UT) Human Factors Research Project. Specifically, personality trait data collected from astronauts, pilots, Antarctic personnel, and other groups over a 15-yr period is discussed with particular emphasis on research in space and space analogue environments. The UT Human Factors Research Project conducts studies in personality and group dynamics in aviation, space, and medicine. Current studies include personality determinants of professional cultures, team effectiveness in both medicine and aviation, and personality predictors of long-term astronaut performance. The Project also studies the design and effectiveness of behavioral strategies used to minimize error and maximize team performance in safety-critical work settings. A multi-year personality and performance dataset presents many opportunities for research, including long-term and follow-up studies of human performance, analyses of trends in recruiting and attrition, and the ability to adapt research design to operational changes and methodological advances. Special problems posed by such long-duration projects include issues of confidentiality and security, as well as practical limitations imposed by current peer-review and short-term funding practices. Practical considerations for ongoing dataset management include consistency of assessment instruments over time, variations in data acquisition from one year to the next, and dealing with changes in theory and practice that occur over the life of the project. A fundamental change in how research into human performance is funded would be required to ensure the ongoing development of such long-duration research databases.</t>
  </si>
  <si>
    <t>Univ Texas, Human Factors Res Project, Dept Psychol, Univ Stn A8000, Austin, TX 78712 USA</t>
  </si>
  <si>
    <t>Musson, DM (corresponding author), Univ Texas, Human Factors Res Project, Dept Psychol, Univ Stn A8000, Austin, TX 78712 USA.</t>
  </si>
  <si>
    <t>musson@mail.utexas.edu</t>
  </si>
  <si>
    <t>Musson, David/0000-0003-3713-8145</t>
  </si>
  <si>
    <t>B119</t>
  </si>
  <si>
    <t>B125</t>
  </si>
  <si>
    <t>Science Citation Index Expanded (SCI-EXPANDED); Social Science Citation Index (SSCI); Conference Proceedings Citation Index - Science (CPCI-S)</t>
  </si>
  <si>
    <t>WOS:000229616600017</t>
  </si>
  <si>
    <t>Steel, GD</t>
  </si>
  <si>
    <t>Whole lot of parts: Stress in extreme environments</t>
  </si>
  <si>
    <t>stress; extreme environments; submarine; astronaut; polar; Antarctic; salutogenic</t>
  </si>
  <si>
    <t>Stress has been a central interest for researchers of human behavior in extreme and unusual environments and also for those who are responsible for planning and carrying out expeditions involving such environments. This paper compares the actuarial and case study methods for predicting reactions to stress. Actuarial studies are useful, but do not tap enough variables to allow us to predict how a specific individual will cope with the rigors of an individual mission. Case histories provide a wealth of detail, but few investigators understand the challenges of properly applying this method. This study reviews some of the strengths and weaknesses of the actuarial and case history methods, and presents a four celled taxonomy of stress based on method (actuarial and case history) and effects (distress and eustress). For both research and operational purposes, the person, the setting, and time should not be considered independently; rather, it is an amalgam of these variables that provides the proper basis of analysis.</t>
  </si>
  <si>
    <t>Lincoln Univ, Environm Soc &amp; Design Div, Canterbury, New Zealand</t>
  </si>
  <si>
    <t>Lincoln University - New Zealand</t>
  </si>
  <si>
    <t>Lincoln Univ, Environm Soc &amp; Design Div, POB 84, Canterbury, New Zealand.</t>
  </si>
  <si>
    <t>steelg@lincoln.ac.nz</t>
  </si>
  <si>
    <t>Steel, Gary/P-6729-2018</t>
  </si>
  <si>
    <t>Steel, Gary/0000-0002-8499-9709</t>
  </si>
  <si>
    <t>B67</t>
  </si>
  <si>
    <t>B73</t>
  </si>
  <si>
    <t>WOS:000229616600010</t>
  </si>
  <si>
    <t>Wood, J; Schmidt, L; Lugg, D; Ayton, J; Phillips, T; Shepanek, M</t>
  </si>
  <si>
    <t>Life, survival, and behavioral health in small closed communities: 10 years of studying isolated antarctic groups</t>
  </si>
  <si>
    <t>behavioral health; Antarctica; extreme environments; closed communities; social environments; pooled time-series regressions; hierarchical statistical models; content analysis</t>
  </si>
  <si>
    <t>In the late 1980s the Australian Antarctic Division collaborated with NASA to use the Australian National Antarctic Research Expeditions' (ANARE) stations to pursue research of benefit to both programs. This article outlines the data collection efforts, the development of analyses, and selected results, and describes some of the benefits for the aerospace, health, and environmental psychology communities. The Behavior and Performance Laboratory at Johnson Space Center developed a questionnaire to sample broadly the many aspects of life in extreme environments analogous to space missions. Data were collected from volunteers involved in various ANAREs conducted from 1994 to 2003. Pool-timed series regression, hierarchical models, and content analysis have all enhanced the understanding of the kinds of psychosocial variables relevant in extreme environments, and how these variables relate to each other; examples are given. Observations gathered over the last 10 yr comprise a unique, comprehensive, and advanced representation of psychosocial factors in this extreme environment and provide a strong base for future research and application.</t>
  </si>
  <si>
    <t>NASA HQ, Off Chief Hlth &amp; Med Officer, Washington, DC 20546 USA; Wyle Labs, Houston, TX USA; Baylor Coll Med, NSBRI, JSC, Houston, TX 77030 USA; Australian Antarctic Div, Kingston, Tas, Australia; NIH, Bethesda, MD 20892 USA</t>
  </si>
  <si>
    <t>National Aeronautics &amp; Space Administration (NASA); Baylor College of Medicine; Australian Antarctic Division; National Institutes of Health (NIH) - USA</t>
  </si>
  <si>
    <t>NASA HQ, Off Chief Hlth &amp; Med Officer, 300 E St SW, Washington, DC 20546 USA.</t>
  </si>
  <si>
    <t>Ayton, Jeffrey/0000-0003-4012-6719; Schmidt, Lacey/0000-0002-2639-949X</t>
  </si>
  <si>
    <t>B89</t>
  </si>
  <si>
    <t>B93</t>
  </si>
  <si>
    <t>WOS:000229616600014</t>
  </si>
  <si>
    <t>Stubhaug, I; Tocher, DR; Bell, JG; Dick, JR; Torstensen, BE</t>
  </si>
  <si>
    <t>Fatty acid metabolism in Atlantic salmon (Salmo salar L.) hepatocytes and influence of dietary vegetable oil</t>
  </si>
  <si>
    <t>BIOCHIMICA ET BIOPHYSICA ACTA-MOLECULAR AND CELL BIOLOGY OF LIPIDS</t>
  </si>
  <si>
    <t>uptake; phospholipid; TAG; beta-oxidation; secretion; salmon</t>
  </si>
  <si>
    <t>TROUT ONCORHYNCHUS-MYKISS; LOW-DENSITY LIPOPROTEIN; COD GADUS-MORHUA; MOLECULAR-SPECIES COMPOSITION; PEROXISOMAL BETA-OXIDATION; PERFUSED-RAT-LIVER; RAPESEED OIL; FISH-OIL; INTESTINAL ENTEROCYTES; ANTARCTIC FISH</t>
  </si>
  <si>
    <t>Isolated hepatocytes from Atlantic salmon (Salmo salar), fed diets containing either 100% fish oil or a vegetable oil blend replacing 75% of the fish oil, were incubated with a range of seven 14 C-labelled fatty acids. The fatty acids were [1-C-14]16:0, [1-C-14]18:1n-9, 91-C-14]18:2n-6, [1-C-14] 18:3n-3, [1-C-14]20:4n-6, [1-C-14]20:5n-3, and [1-C-14]22:6n-3. After 2 It of incubation, the hepatocytes and medium were analysed for acid soluble products, incorporation into lipid classes, and hepatocytes for desaturation and elongation. Uptake into hepatocytes was highest with [1-C-14]18:2n-6 and [1-C-14]20:5n-3 and lowest with [1-C-14]16:0. The highest recovery of radioactivity in the cells was found in triacylglycerols. Of the phospholipids, the highest recovery was found in phosphatidylcholine, with [1-C-14] 16:0 and [1-C-14]22:6n-3 being the most prominent fatty acids. The rates of beta-oxidation were as follows: 20:4n-6 &gt; 18:2n-6= 16:0 &gt; 18:1n-9 &gt; 22:6n-3=18:3n-3=20:5n-3. Of the fatty acids taken up by the hepatocytes, [1-C-14]16:0 and [1-C-14]18:1n-9 were subsequently exported the most, with the majority of radioactivity recovered in phospholipids and triacylglycerols, respectively. The major products from desaturation and elongation were generally one cycle of elongation of the fatty acids. Diet had a clear effect on the overall lipid metabolism, with replacing 75% of the fish oil with vegetable oil resulting in decreased uptake of all fatty acids and reduced incorporation of fatty acids into cellular lipids, but increased beta-oxidation activity and higher recovery in products of desaturation and elongation of[1-C-14]18:2n-6 and [1-C-14] 18:3n-3. (c) 2005 Elsevier B.V. All rights reserved.</t>
  </si>
  <si>
    <t>Natl Inst Nutr &amp; Seafood Res, N-5817 Bergen, Norway; Univ Stirling, Inst Aquaculture, Stirling FK9 4LA, Scotland</t>
  </si>
  <si>
    <t>University of Stirling</t>
  </si>
  <si>
    <t>Stubhaug, I (corresponding author), Natl Inst Nutr &amp; Seafood Res, POB 2029, N-5817 Bergen, Norway.</t>
  </si>
  <si>
    <t>ingunn.stubhaug@nifes.no</t>
  </si>
  <si>
    <t>Tocher, Douglas/C-5652-2011</t>
  </si>
  <si>
    <t>Tocher, Douglas/0000-0002-8603-9410</t>
  </si>
  <si>
    <t>1388-1981</t>
  </si>
  <si>
    <t>BBA-MOL CELL BIOL L</t>
  </si>
  <si>
    <t>Biochim. Biophys. Acta Mol. Cell Biol. Lipids</t>
  </si>
  <si>
    <t>JUN 1</t>
  </si>
  <si>
    <t>10.1016/j.bbalip.2005.04.003</t>
  </si>
  <si>
    <t>Biochemistry &amp; Molecular Biology; Biophysics; Cell Biology</t>
  </si>
  <si>
    <t>939GP</t>
  </si>
  <si>
    <t>WOS:000230060900007</t>
  </si>
  <si>
    <t>Argentini, S; Viola, A; Sempreviva, A; Petenko, I</t>
  </si>
  <si>
    <t>Summer boundary-layer height at the plateau site of Dome C, Antarctica</t>
  </si>
  <si>
    <t>BOUNDARY-LAYER METEOROLOGY</t>
  </si>
  <si>
    <t>Antarctica; mixed layer height; sodar; sonic anemometer</t>
  </si>
  <si>
    <t>DAYTIME MIXED-LAYER; MIXING-HEIGHT; APPLIED-MODEL; HEAT-FLUX; TEMPERATURE; BALANCE; DEPTH</t>
  </si>
  <si>
    <t>Measurements of the mean and turbulent structure of the planetary boundary layer using a sodar and a sonic anemometer, and radiative measurements using a radiometer, were carried out in the summer of 1999-2000 at the Antarctic plateau station of Dome C during a two-month period. At Dome C strong ground-based inversions dominate for most of the year. However, in spite of the low surface temperatures (between -50 and -20 degrees C), and the surface always covered by snow and ice, a regular daytime boundary-layer evolution, similar to that observed at mid-latitudes, was observed during summertime. The mixed-layer height generally reaches 200-300 m at 1300-1400 LST in high summer (late December, early January); late in the summer (end of January to February), as the solar elevation decreases, it reduces to 100-200 m. A comparison between the mixed-layer height estimated from sodar measurements and that calculated using a mixed-layer growth model shows a rather satisfactory agreement if we assign a value of 0.01-0.02 m s(-1) to the subsidence velocity at the top of the mixed layer, and a value of 0.003-0.004 K m(-1) to the potential temperature gradient above the mixed layer.</t>
  </si>
  <si>
    <t>CNR, Ist Sci Atmosfera &amp; Clima, I-00133 Rome, Italy; Russian Acad Sci, AM Obukhov Inst Atmospher Phys, Moscow 109017, Russia</t>
  </si>
  <si>
    <t>Consiglio Nazionale delle Ricerche (CNR); Istituto di Scienze dell'Atmosfera e del Clima (ISAC-CNR); Russian Academy of Sciences; Obukhov Institute of Atmospheric Physics of Russian Academy of Sciences</t>
  </si>
  <si>
    <t>Argentini, S (corresponding author), CNR, Ist Sci Atmosfera &amp; Clima, Via Fosso Cavaliere 100, I-00133 Rome, Italy.</t>
  </si>
  <si>
    <t>s.argentini@isac.cnr.it</t>
  </si>
  <si>
    <t>Sempreviva, Anna Maria/AAE-3093-2020; viola, angelo p/C-7184-2015</t>
  </si>
  <si>
    <t>viola, angelo pietro/0000-0002-6545-7496; PETENKO, IGOR/0000-0002-8475-5018; ARGENTINI, STEFANIA/0000-0002-7939-0309</t>
  </si>
  <si>
    <t>0006-8314</t>
  </si>
  <si>
    <t>BOUND-LAY METEOROL</t>
  </si>
  <si>
    <t>Bound.-Layer Meteor.</t>
  </si>
  <si>
    <t>10.1007/s10546-004-5643-6</t>
  </si>
  <si>
    <t>942XQ</t>
  </si>
  <si>
    <t>WOS:000230316600005</t>
  </si>
  <si>
    <t>Patrick, MR; Smellie, JL; Harris, AJL; Wright, R; Dean, K; Izbekov, P; Garbeil, H; Pilger, E</t>
  </si>
  <si>
    <t>First recorded eruption of Mount Belinda volcano (Montagu Island), South Sandwich Islands</t>
  </si>
  <si>
    <t>BULLETIN OF VOLCANOLOGY</t>
  </si>
  <si>
    <t>Mount Belinda volcano; Montagu Island; Mount Michael; Saunders Island; South Sandwich Islands; satellite monitoring; ASTER</t>
  </si>
  <si>
    <t>SPACE; MODIS</t>
  </si>
  <si>
    <t>The MODVOLC satellite monitoring system has revealed the first recorded eruption of Mount Belinda volcano, on Montagu Island in the remote South Sandwich Islands. Here we present some initial qualitative observations gleaned from a collection of satellite imagery covering the eruption, including MODIS, Landsat 7 ETM+, ASTER, and RADARSAT-1 data. MODVOLC thermal alerts indicate that the eruption started sometime between 12 September and 20 October 2001, with low-intensity subaerial explosive activity from the islands summit peak, Mount Belinda. By January 2002 a small lava flow had been emplaced near the summit, and activity subsequently increased to some of the highest observed levels in August 2002. Observations from passing ships in February and March 2003 provided the first visual confirmation of the eruption. ASTER images obtained in August 2003 show that the eruption at Mount Belinda entered a new phase around this time, with fresh lava effusion into the surrounding icefield. MODIS radiance trends also suggest that the overall activity level increased significantly after July 2003. Thermal anomalies continued to be observed in MODIS imagery in early 2004, indicating a prolonged low-intensity eruption and the likely establishment of a persistent summit lava lake, similar to that observed on neighboring Saunders Island in 2001. Our new observations also indicate that lava lake activity continues on Saunders Island.</t>
  </si>
  <si>
    <t>Univ Hawaii Manoa, Sch Ocean &amp; Earth Sci &amp; Technol, Hawaii Inst Geophys &amp; Planetol, Honolulu, HI 96822 USA; British Antarctic Survey, NERC, Cambridge CB3 0ET, England; Univ Alaska Fairbanks, Inst Geophys, Alaska Volcano Observ, Fairbanks, AK 99775 USA</t>
  </si>
  <si>
    <t>University of Hawaii System; University of Hawaii Manoa; UK Research &amp; Innovation (UKRI); Natural Environment Research Council (NERC); NERC British Antarctic Survey; United States Department of the Interior; United States Geological Survey; University of Alaska System; University of Alaska Fairbanks</t>
  </si>
  <si>
    <t>Patrick, MR (corresponding author), Univ Hawaii Manoa, Sch Ocean &amp; Earth Sci &amp; Technol, Hawaii Inst Geophys &amp; Planetol, 1680 East West Rd, Honolulu, HI 96822 USA.</t>
  </si>
  <si>
    <t>patrick@higp.hawaii.edu</t>
  </si>
  <si>
    <t>Izbekov, Pavel/AAF-7353-2020; Izbekov, Pavel/B-5110-2010</t>
  </si>
  <si>
    <t>Patrick, Matthew/0000-0002-8042-6639; Izbekov, Pavel/0000-0001-9052-7655</t>
  </si>
  <si>
    <t>0258-8900</t>
  </si>
  <si>
    <t>B VOLCANOL</t>
  </si>
  <si>
    <t>Bull. Volcanol.</t>
  </si>
  <si>
    <t>10.1007/s00445-004-0382-6</t>
  </si>
  <si>
    <t>934MI</t>
  </si>
  <si>
    <t>WOS:000229712500002</t>
  </si>
  <si>
    <t>Place, SP; Hofmann, GE</t>
  </si>
  <si>
    <t>Temperature differentially affects adenosine triphosphatase activity in Hsc70 orthologs from Antarctic and New Zealand nototheniold fishes</t>
  </si>
  <si>
    <t>CELL STRESS &amp; CHAPERONES</t>
  </si>
  <si>
    <t>HEAT-SHOCK PROTEINS; NEWLY SYNTHESIZED PROTEINS; MOLECULAR CHAPERONE HSC70; ATPASE ACTIVITY; TRIGGER FACTOR; A(4)-LACTATE DEHYDROGENASES; UNFOLDED PROTEINS; HSP70; DNAK; BINDING</t>
  </si>
  <si>
    <t>To test the temperature sensitivity of molecular chaperones in poikilothermic animals, we purified the molecular chaperone Hsc70 from 2 closely related notothenioid fishes-the Antarctic species Trematomus bemacchii and the temperate New Zealand species Notothenia angustata-and characterized the effect of temperature on Hsc70 adenosine triphosphatase (ATPase) activity. Hsc70 ATPase activity was measured using [alpha-P-32]-adenosine triphosphate (ATP)-based in vitro assays followed by separation of adenylates by thin-layer chromatography. For both species, a significant increase in Hsc70 ATPase activity was observed across a range of temperatures that was ecologically relevant for each respective species. Hsc70 from T bemacchii hydrolyzed 2-fold more ATP than did N angustata Hsc70 at 0 degrees C, suggesting that the Antarctic molecular chaperone may be adapted to function more efficiently at extreme cold temperatures. In addition, Q(10) measurements indicate differential temperature sensitivity of the ATPase activity of Hsc70 from these differentially adapted fish that correlates with the temperature niche inhabited by each species. Hsc70 from T bemacchii was relatively temperature insensitive, as indicated by Q(10) values calculated near 1.0 across each temperature range measured. In the case of Hsc70 purified from N angustata, Q(10) values indicated thermal sensitivity across the temperature range of 0 degrees C to 10 degrees C, with a Q(10) of 2.714. However, Hsc70 from both T bernacchii and N angustata exhibited unusually high thermal stabilities with ATPase activity at temperatures that far exceeded temperatures encountered by these fish in nature. Overall, as evidenced by in vitro ATP hydrolysis, Hsc70 from Tbemacchfi and N angustata displayed biochemical characteristics that were supportive of molecular chaperone function at ecologically relevant temperatures.</t>
  </si>
  <si>
    <t>Univ Calif Santa Barbara, Dept Ecol Evolut &amp; Marine Biol, Santa Barbara, CA 93106 USA; Univ Calif Santa Barbara, Inst Marine Sci, Santa Barbara, CA 93106 USA</t>
  </si>
  <si>
    <t>University of California System; University of California Santa Barbara; University of California System; University of California Santa Barbara</t>
  </si>
  <si>
    <t>Place, SP (corresponding author), Mayo Clin Scottsdale, SC Johnson Res Ctr, Scottsdale, AZ 85259 USA.</t>
  </si>
  <si>
    <t>place@lifesci.ucsb.edu</t>
  </si>
  <si>
    <t>ALLIANCE COMMUNICATIONS GROUP DIVISION ALLEN PRESS</t>
  </si>
  <si>
    <t>810 EAST 10TH STREET, LAWRENCE, KS 66044 USA</t>
  </si>
  <si>
    <t>1355-8145</t>
  </si>
  <si>
    <t>CELL STRESS CHAPERON</t>
  </si>
  <si>
    <t>Cell Stress Chaperones</t>
  </si>
  <si>
    <t>SUM</t>
  </si>
  <si>
    <t>10.1379/CSC-82R.1</t>
  </si>
  <si>
    <t>Cell Biology</t>
  </si>
  <si>
    <t>940GA</t>
  </si>
  <si>
    <t>WOS:000230130500003</t>
  </si>
  <si>
    <t>Zhu, RB; Sun, LG</t>
  </si>
  <si>
    <t>Methane fluxes from tundra soils and snowpack in the maritime Antarctic</t>
  </si>
  <si>
    <t>CHEMOSPHERE</t>
  </si>
  <si>
    <t>methane flux; tundra; penguin dropping; snowpack; Antarctica</t>
  </si>
  <si>
    <t>NITROUS-OXIDE; FOREST SOILS; ATMOSPHERIC METHANE; EMISSION RATES; RICE FIELDS; WATER-TABLE; N2O; ENVIRONMENTS; CONSUMPTION; GRASSLANDS</t>
  </si>
  <si>
    <t>Methane fluxes were measured from three exposed tundra sites and four snowpack sites on the Fildes Peninsula in the maritime Antarctic in the summertime of 2002. The average fluxes at two normal tundra sites were -15.3 mu g m(-2) h(-1) and -14.3 mu g m(-2) h(-1), respectively. The fluxes from tundra site with fresh penguin dropping addition showed positive values with the average of 36.1 mu g m(-2) h(-1), suggesting that the deposition of fresh droppings a greatly enhanced CH4 emissions from the poor Antarctic tundra during penguin breeding periods. The summertime variation in CH4 flux was correlated with surface ground temperature and the precipitation. The correlation between the flux and PT0, which is the product of the precipitation and surface ground temperature, was quite strong. The diurnal cycle Of CH4 flux from the tundra soils was not obtained due to local fluky weather conditions. The fluxes through four snowpack sites were also obtained by the vertical CH4 concentration gradient and their average fluxes were -46.5 mu g m(-2) h(-1) -28.2 mu g m(-2) h(-1), -46.4 mu g m(-2) h(-1) and -17.9 mu g m(-2) h(-1), respectively, indicating that tundra soils under snowpack also consume atmospheric CH4 in the maritime Antarctic; therefore these fluxes could constitute an important part of the annual CH4 budget for Antarctic tundra ecosystem. (c) 2005 Elsevier Ltd. All rights reserved.</t>
  </si>
  <si>
    <t>Univ Sci &amp; Technol China, Inst Polar Environm, Hefei 230026, Anhui, Peoples R China</t>
  </si>
  <si>
    <t>Chinese Academy of Sciences; University of Science &amp; Technology of China, CAS</t>
  </si>
  <si>
    <t>Univ Sci &amp; Technol China, Inst Polar Environm, Hefei 230026, Anhui, Peoples R China.</t>
  </si>
  <si>
    <t>zhurb@ustc.edu.cn; slg@ustc.edu.cn</t>
  </si>
  <si>
    <t>0045-6535</t>
  </si>
  <si>
    <t>1879-1298</t>
  </si>
  <si>
    <t>Chemosphere</t>
  </si>
  <si>
    <t>10.1016/j.chemosphere.2005.02.007</t>
  </si>
  <si>
    <t>Environmental Sciences</t>
  </si>
  <si>
    <t>942ZN</t>
  </si>
  <si>
    <t>WOS:000230321500007</t>
  </si>
  <si>
    <t>Zhu, RB; Sun, LG; Ding, WX</t>
  </si>
  <si>
    <t>Nitrous oxide emissions from tundra soil and snowpack in the maritime Antarctic</t>
  </si>
  <si>
    <t>nitrous oxide; flux; tundra; penguin dropping; snowpack; Antarctica</t>
  </si>
  <si>
    <t>N2O CONCENTRATION; METHANE; CH4; GRASSLANDS; TEMPERATE; SURFACE; FLUXES; ISLAND; CHINA; RICE</t>
  </si>
  <si>
    <t>The nitrous oxide emissions were measured at three tundra sites and one snowpack on the Fildes Peninsula in the maritime Antarctic in the summertime of 2002. The average fluxes at two normal tundra sites were 1.1 +/- 2.2 and 0.6 +/- 1.7 mu g N2O m(-2) h(-1), respectively. The average flux from tundra soil site with penguin dropping addition was 3.7 +/- 2.0 mu g N2O m(-2) h(-1), 3-6 times those from the normal tundra soils, suggesting that the deposition of fresh droppings enhanced N2O emissions during penguin breeding period. The summer precipitation had an important effect on N2O emissions; the flux decreased when heavy precipitation occurred. The diurnal cycle of the N2O fluxes from Antarctic tundra soils was not obtained due to local fluky weather conditions. The N2O fluxes through four snowpack sites were obtained by the vertical N2O concentration gradient and their average fluxes were 0.94, 1.36, 0.81 and 0.85 mu g N2O m(-2) h(-1), respectively. The tundra soils under snowpack emitted N2O in the maritime Antarctic and increased local atmospheric N2O concentrations, therefore these fluxes could constitute an important part of the annual N2O budget for Antarctic tundra ecosystem. (c) 2004 Elsevier Ltd. All rights reserved.</t>
  </si>
  <si>
    <t>Univ Sci &amp; Technol China, Inst Polar Environm, Hefei 230026, Anhui, Peoples R China; Chinese Acad Sci, Inst Solid Sci, State Key Lab Soil &amp; Sustainable Agr, Nanjing 210008, Peoples R China</t>
  </si>
  <si>
    <t>Chinese Academy of Sciences; University of Science &amp; Technology of China, CAS; Chinese Academy of Sciences</t>
  </si>
  <si>
    <t>slg@ustc.edu.cn</t>
  </si>
  <si>
    <t>10.1016/j.chemosphere.2004.10.033</t>
  </si>
  <si>
    <t>WOS:000230321500014</t>
  </si>
  <si>
    <t>Genthon, C; Kaspari, S; Mayewski, PA</t>
  </si>
  <si>
    <t>Interannual variability of the surface mass balance of West Antarctica from ITASE cores and ERA40 reanalyses, 1958-2000</t>
  </si>
  <si>
    <t>CLIMATE DYNAMICS</t>
  </si>
  <si>
    <t>SOUTH-POLE; PRECIPITATION; ACCUMULATION; CIRCULATION; SUBLIMATION; TRENDS</t>
  </si>
  <si>
    <t>Time series of west-Antarctic (WA) annual surface mass balance (SMB) from ITASE firn/ice cores are compared with the ECMWF 1958-2001 ERA40 reanalysis-based model forecasts. The ITASE series partially confirm the spatial structure of the signature of El Nino Southern Oscillation (ENSO) in WA precipitation as previously identified in ERA40 and other models. However, an improvement of ERA40's ability to reproduce the west-Antarctic SMB since the 1970s is evidenced and is probably related to the onset and increasing use of satellite data in late 1972 and 1978. Restricting the analysis to the 1973-2000 (satellite) period, interannual correlations between ITASE cores and ERA40 SMB series are generally significant (95% confidence level) but weak. The fraction of common variability increases when the series are spatially averaged, suggesting that small-scale perturbation (SSP) of the large-scale SMB variability significantly contributes to year-to-year variability in single core series. A comparison of stake network and core data from the South Pole suggests that SSP can almost fully obscure the large-scale component of the SMB variability as recorded in a single core. Because of SSP, the 1973-2000 period is too brief to verify whether all aspects of the WA large-scale signatures of ENSO and of the Antarctic Oscillation suggested by ERA40 are confirmed in the core series. More annually resolved field data from cores and stakes, spatially extended using high-resolution ground penetrating radar, are necessary to fully assess the relationship between the Antarctic SMB and the large-scale climate as currently suggested by meteorological and climate models.</t>
  </si>
  <si>
    <t>UJF, CNRS, Lab Glaciol &amp; Geophys Environm, F-38402 St Martin Dheres, France; Univ Maine, Climate Change Inst, Orono, ME 04469 USA; Univ Maine, Dept Earth Sci, Orono, ME 04469 USA</t>
  </si>
  <si>
    <t>Communaute Universite Grenoble Alpes; Universite Grenoble Alpes (UGA); Centre National de la Recherche Scientifique (CNRS); University of Maine System; University of Maine Orono; University of Maine System; University of Maine Orono</t>
  </si>
  <si>
    <t>UJF, CNRS, Lab Glaciol &amp; Geophys Environm, 54 Rue Moliere,BP 96, F-38402 St Martin Dheres, France.</t>
  </si>
  <si>
    <t>genthon@lgge.obs.ujf-grenoble.fr</t>
  </si>
  <si>
    <t>Mayewski, Paul Andrew/HRD-6969-2023</t>
  </si>
  <si>
    <t>0930-7575</t>
  </si>
  <si>
    <t>1432-0894</t>
  </si>
  <si>
    <t>CLIM DYNAM</t>
  </si>
  <si>
    <t>Clim. Dyn.</t>
  </si>
  <si>
    <t>7-8</t>
  </si>
  <si>
    <t>10.1007/s00382-005-0019-2</t>
  </si>
  <si>
    <t>944LT</t>
  </si>
  <si>
    <t>WOS:000230431200007</t>
  </si>
  <si>
    <t>John, UP; Spangenberg, GC</t>
  </si>
  <si>
    <t>Xenogenomics: genomic bioprospecting in indigenous and exotic plants through EST discovery, cDNA microarray-based expression profiling and functional genomics</t>
  </si>
  <si>
    <t>COMPARATIVE AND FUNCTIONAL GENOMICS</t>
  </si>
  <si>
    <t>13th Conference on Plant and Animal Genome</t>
  </si>
  <si>
    <t>San Diego, CA</t>
  </si>
  <si>
    <t>biosphere genomics; plant biodiversity; expressed sequence tags (ESTs); microarrays; abiotic stress tolerance; freezing tolerance; ice recrystallization inhibition proteins; antarctic hairgrass</t>
  </si>
  <si>
    <t>To date, the overwhelming majority of genomics programs in plants have been directed at model or crop plant species, meaning that very little of the naturally occurring sequence diversity found in plants is available for characterization and exploitation. In contrast, 'xenogenomics' refers to the discovery and functional analysis of novel genes and alleles from indigenous and exotic species, permitting bioprospecting of biodiversity using high-throughput genomics experimental approaches. Such a program has been initiated to bioprospect for genetic determinants of abiotic stress tolerance in indigenous Australian flora and native Antarctic plants. Uniquely adapted Poaceae and Fabaceae species with enhanced tolerance to salt, drought, elevated soil aluminium concentration, and freezing stress have been identified, based primarily on their eco-physiology, and have been subjected to structural and functional genomics analyses. For each species, EST collections have been derived from plants subjected to appropriate abiotic stresses. Transcript profiling with spotted unigene cDNA micro-arrays has been used to identify genes that are transcriptionally modulated in response to abiotic stress. Candidate genes identified on the basis of sequence annotation or transcript profiling have been assayed in planta and other in vivo systems for their capacity to confer novel phenotypes. Comparative genomics analysis of novel genes and alleles identified in the xenogenomics target plant species has subsequently been undertaken with reference to key model and crop plants. Copyright (c) 2005 John Wiley &amp; Sons, Ltd.</t>
  </si>
  <si>
    <t>La Trobe Univ, Primary Ind Res Victoria, Ctr Plant Biotechnol,Victoria Ctr Plant Funct Gen, Australian Ctr Plant Funct Genom, Bundoora, Vic 3086, Australia</t>
  </si>
  <si>
    <t>Victorian Department of Environment &amp; Primary Industries; La Trobe University</t>
  </si>
  <si>
    <t>La Trobe Univ, Primary Ind Res Victoria, Ctr Plant Biotechnol,Victoria Ctr Plant Funct Gen, Australian Ctr Plant Funct Genom, Bundoora, Vic 3086, Australia.</t>
  </si>
  <si>
    <t>man.Spangenberg@dpi.vic.gov.au</t>
  </si>
  <si>
    <t>HINDAWI LTD</t>
  </si>
  <si>
    <t>ADAM HOUSE, 3RD FLR, 1 FITZROY SQ, LONDON, W1T 5HF, ENGLAND</t>
  </si>
  <si>
    <t>1531-6912</t>
  </si>
  <si>
    <t>1532-6268</t>
  </si>
  <si>
    <t>COMP FUNCT GENOM</t>
  </si>
  <si>
    <t>Compar. Funct. Genom.</t>
  </si>
  <si>
    <t>10.1002/cfg.475</t>
  </si>
  <si>
    <t>Biochemistry &amp; Molecular Biology; Biotechnology &amp; Applied Microbiology; Genetics &amp; Heredity</t>
  </si>
  <si>
    <t>932NF</t>
  </si>
  <si>
    <t>Green Published, gold</t>
  </si>
  <si>
    <t>WOS:000229559700004</t>
  </si>
  <si>
    <t>Bakker, DCE; Bozec, Y; Nightingale, PD; Goldson, L; Messias, MJ; de Baar, HJW; Liddicoat, M; Skjelvan, I; Strass, V; Watson, AJ</t>
  </si>
  <si>
    <t>Iron and mixing affect biological carbon uptake in SOIREE and EisenEx, two Southern Ocean iron fertilisation experiments</t>
  </si>
  <si>
    <t>DEEP-SEA RESEARCH PART I-OCEANOGRAPHIC RESEARCH PAPERS</t>
  </si>
  <si>
    <t>iron fertilisation; carbon dioxide; SOIREE; EisenEx</t>
  </si>
  <si>
    <t>GAS-EXCHANGE; CO2; DIOXIDE; MARINE; FATE; FLUX</t>
  </si>
  <si>
    <t>This study explores the changes in the surface water fugacity of carbon dioxide (fCO(2)) and biological carbon uptake in two Southern Ocean iron fertilisation experiments with different hydrographic regimes. The Southern Ocean Iron Release Experiment (SOIREE) experiment was carried out south of the Antarctic Polar Front (APF) at 61 degrees S, 141 degrees E in February 1999 in a stable hydrographic setting. The EisenEx experiment was conducted in a cyclonic eddy north of the APF at 48 degrees S, 21 degrees E in November 2000 and was characterised by a rapid succession of low to storm-force wind speeds and dynamic hydrographic conditions. The iron additions promoted algal blooms in both studies. They alleviated algal iron limitation during the 13-day SOIREE experiment and probably during the first 12 days of EisenEx. The fCO(2) in surface water decreased at a constant rate of 3.8 mu atm day(-1) from 4 to 5 days onwards in SOIREE. The fCO(2) reduction was 35 mu atm after 13 days. The evolution of surface water fCO(2) in the iron-enriched waters (or 'patch') displayed a saw tooth pattern in EisenEx, in response to algal carbon uptake in calm conditions and deep mixing and horizontal dispersion during storms. The maximum fCO(2) reduction was 18-20 mu atm after 12 and 21 days with lower values in between. The iron-enriched waters in EiscnEx absorbed four times more atmospheric CO2 than in SOIREE between 5 and 12 days, as a result of stronger winds. The total biological uptake of inorganic carbon across the patch was 1389ton C (+/- 10%) in SOIREE and 1433 ton C (+/- 27%) in EisenEx after 12 days (1ton=106g). This similarity probably reflects the comparable size of the iron additions, as well as algal growth at a similar near-maximum growth rate in these regions. The findings imply that the different mixing regimes had less effect on the overall biological carbon uptake across the iron-enriched waters than suggested by the evolution of fCO(2) in surface water. (c) 2005 Elsevier Ltd. All rights reserved.</t>
  </si>
  <si>
    <t>Univ E Anglia, Sch Environm Sci, Norwich NR4 7TJ, Norfolk, England; Royal Netherlands Inst Sea Res, NL-1797 SK Den Hoorn, Texel, Netherlands; Plymouth Marine Lab, Plymouth PL1 3DH, Devon, England; Univ Bergen, Inst Geophys, N-5007 Bergen, Norway; Alfred Wegener Inst Polar &amp; Marine Res, D-27515 Bremerhaven, Germany</t>
  </si>
  <si>
    <t>University of East Anglia; Utrecht University; Royal Netherlands Institute for Sea Research (NIOZ); Plymouth Marine Laboratory; University of Bergen; Helmholtz Association; Alfred Wegener Institute, Helmholtz Centre for Polar &amp; Marine Research</t>
  </si>
  <si>
    <t>Univ E Anglia, Sch Environm Sci, Norwich NR4 7TJ, Norfolk, England.</t>
  </si>
  <si>
    <t>D.Bakker@uea.ac.uk</t>
  </si>
  <si>
    <t>Nightingale, Philip D/I-4324-2012; Bakker, Dorothee/E-4951-2015</t>
  </si>
  <si>
    <t>Nightingale, Philip D/0000-0001-7177-5469; Bakker, Dorothee/0000-0001-9234-5337; Messias, Marie-Jose/0000-0002-3852-2854; Strass, Volker/0000-0002-7539-1400; Watson, Andrew/0000-0002-9654-8147</t>
  </si>
  <si>
    <t>0967-0637</t>
  </si>
  <si>
    <t>1879-0119</t>
  </si>
  <si>
    <t>DEEP-SEA RES PT I</t>
  </si>
  <si>
    <t>Deep-Sea Res. Part I-Oceanogr. Res. Pap.</t>
  </si>
  <si>
    <t>10.1016/j.dsr.2004.11.015</t>
  </si>
  <si>
    <t>932AE</t>
  </si>
  <si>
    <t>WOS:000229525800006</t>
  </si>
  <si>
    <t>Lake, S; Wotherspoon, S; Burton, H</t>
  </si>
  <si>
    <t>Spatial utilisation of fast-ice by Weddell seals Leptonychotes weddelli during winter</t>
  </si>
  <si>
    <t>ECOGRAPHY</t>
  </si>
  <si>
    <t>ROSS SEA; MOVEMENTS; POLYNYAS</t>
  </si>
  <si>
    <t>This study describes the distribution of Weddell seals Leptonychotes weddelli in winter (May-September 1999) at the Vestfold Hills, in Prydz Bay, East Antarctica. Specifically, we describe the spatial extent of haul-out sites in shore-fast sea-ice, commonly referred to as fast-ice. As winter progressed, and the fast-ice grew thick (ca 2 m), most of the inshore holes closed over, and the seals' distribution became restricted to ocean areas beyond land and islands. Using observations from the end of winter only, we fitted Generalised Additive Models (GAMs) to generate resource selection functions, which are models that yield values proportional to the probability of use. The models showed that seal distribution was defined mainly by distance to ice-edge and distance to land. Distance to ice-bergs was also selected for models of some regions. We present the results as maps of the fitted probability of seal presence, predicted by the binomial GAM for offshore regions, both with and without autocorrelation terms. The maps illustrate the expected distribution encompassing most of the observed distribution. On this basis, we hypothesise that propensity for the fast-ice to crack is the major determinant of Weddell seal distribution in winter. Proximity to open water and pack-ice habitats could also influence the distribution of haul-out sites in fast-ice areas. This is the first quantitative study of Weddell seal distribution in winter. Potential for regional variation is discussed.</t>
  </si>
  <si>
    <t>Univ Tasmania, Inst Antarctic &amp; So Ocean Studies, Hobart, Tas 7001, Australia; Univ Tasmania, Sch Maths &amp; Phys, Hobart, Tas 7001, Australia; Australian Antarctic Div, Kingston, Tas 7050, Australia</t>
  </si>
  <si>
    <t>University of Tasmania; University of Tasmania; Australian Antarctic Division</t>
  </si>
  <si>
    <t>Lake, S (corresponding author), Univ Tasmania, Inst Antarctic &amp; So Ocean Studies, Private Bag 77, Hobart, Tas 7001, Australia.</t>
  </si>
  <si>
    <t>se_lake@utas.edu.au</t>
  </si>
  <si>
    <t>Wotherspoon, Simon J/B-2390-2013</t>
  </si>
  <si>
    <t>Wotherspoon, Simon J/0000-0002-6947-4445</t>
  </si>
  <si>
    <t>0906-7590</t>
  </si>
  <si>
    <t>1600-0587</t>
  </si>
  <si>
    <t>Ecography</t>
  </si>
  <si>
    <t>10.1111/j.0906-7590.2005.03949.x</t>
  </si>
  <si>
    <t>930PQ</t>
  </si>
  <si>
    <t>WOS:000229428800003</t>
  </si>
  <si>
    <t>Boonyaratanakornkit, BB; Simpson, AJ; Whitehead, TA; Fraser, CM; El-Sayed, NMA; Clark, DS</t>
  </si>
  <si>
    <t>Transcriptional profiling of the hyperthermophilic methanarchaeon Methanococcus jannaschii in response to lethal heat and non-lethal cold shock</t>
  </si>
  <si>
    <t>ENVIRONMENTAL MICROBIOLOGY</t>
  </si>
  <si>
    <t>EXTREMELY THERMOPHILIC METHANOGEN; MOLECULAR CHAPERONES; ANTARCTIC ARCHAEON; CRYSTAL-STRUCTURE; PROTEIN; EXPRESSION; RNA; BURTONII; GROWTH; GENES</t>
  </si>
  <si>
    <t>Temperature shock of the hyperthermophilic methanarchaeon Methanococcus jannaschii from its optimal growth temperature of 85 degrees C to 65 degrees C and 95 degrees C resulted in different transcriptional responses characteristic of both the direction of shock (heat or cold shock) and whether the shock was lethal. Specific outcomes of lethal heat shock to 95 degrees C included upregulation of genes encoding chaperones, and downregulation of genes encoding subunits of the H+ transporting ATP synthase. A gene encoding an alpha subunit of a putative prefoldin was also upregulated, which may comprise a novel element in the protein processing pathway in M. jannaschii. Very different responses were observed upon cold shock to 65 degrees C. These included upregulation of a gene encoding an RNA helicase and other genes involved in transcription and translation, and upregulation of genes coding for proteases and transport proteins. Also upregulated was a gene that codes for an 18 kDa FKBP-type PPIase, which may facilitate protein folding at low temperatures. Transcriptional profiling also revealed several hypothetical proteins that respond to temperature stress conditions.</t>
  </si>
  <si>
    <t>Univ Calif Berkeley, Dept Chem Engn, Berkeley, CA 94720 USA; Inst Genom Res, Rockville, MD 20850 USA; George Washington Univ, Dept Microbiol &amp; Trop Med, Washington, DC 20052 USA</t>
  </si>
  <si>
    <t>University of California System; University of California Berkeley; J. Craig Venter Institute; George Washington University</t>
  </si>
  <si>
    <t>Univ Calif Berkeley, Dept Chem Engn, Berkeley, CA 94720 USA.</t>
  </si>
  <si>
    <t>clark@cchem.berkeley.edu</t>
  </si>
  <si>
    <t>Simpson, Amelia M/C-1105-2019; Simpson, Amelia/HGB-1823-2022; Whitehead, Tim/KBC-9953-2024; El-Sayed, Najib M./K-7266-2015</t>
  </si>
  <si>
    <t>El-Sayed, Najib M./0000-0001-7970-3312; Fraser, Claire/0000-0003-1462-2428</t>
  </si>
  <si>
    <t>1462-2912</t>
  </si>
  <si>
    <t>1462-2920</t>
  </si>
  <si>
    <t>ENVIRON MICROBIOL</t>
  </si>
  <si>
    <t>Environ. Microbiol.</t>
  </si>
  <si>
    <t>10.1111/j.1462-2920.2005.00751.x</t>
  </si>
  <si>
    <t>Microbiology</t>
  </si>
  <si>
    <t>924EX</t>
  </si>
  <si>
    <t>WOS:000228962800005</t>
  </si>
  <si>
    <t>Vetter, W; Janussen, D</t>
  </si>
  <si>
    <t>Halogenated natural products in five species of antarctic sponges: Compounds with POP-like properties?</t>
  </si>
  <si>
    <t>ENVIRONMENTAL SCIENCE &amp; TECHNOLOGY</t>
  </si>
  <si>
    <t>MARINE SPONGE; OCEAN FISH; BROMOPHENOLS; IDENTIFICATION; BLOOD; CHROMATOGRAPHY; METABOLITES; EXTRACTION; PHENOLS; EGGS</t>
  </si>
  <si>
    <t>Purified extracts of five species of Antarctic sponges (Demospongiae: Kirkpatrickia variolosa, Artemisina apollinis, Phorbas glaberrima, and Halichondria sp. and Calcarea: Leucetta antarctica) from King George Island were analyzed by GC/MS for the presence of persistent and lipophilic halogenated compounds to identify bioac cumulative halogenated natural products. Sample extracts were prepared using methods identical for the determination of POPS, namely, microwave-assisted extraction with organic solvents, gel permeation chromatography, and column chromatography on deactivated silica. In addition, samples were treated with sulfuric acid to remove acid-destructible compounds. PCBs were not detectable and only traces of lindane, p,p'-DDE, and alpha-HCH were detected in these samples in decreasing order of abundance, underscoring their uncontaminated state. In contrast, 146 brominated compounds were identified by correct isotopic ratios m/z 79 and 81, 50% of which eluted prior to lindane including the most abundant peaks. Each sponge sample contained :35 brominated compounds of natural origin, 14 of which were detected in all species. Estimated concentrations ranged from the high ng/kg to mg/kg (air-dried weights) and relative distributions of the same compounds in different sponges were highly variable. The high abundance of these compounds relative to known anthropogenic pollutants strongly suggests a natural origin. Multiple mode (El-, ECNI-, and PCI-) GC/MS enabled identification of an aliphatic ketone tentatively identified as 1,1,2tribromo-oct-l-en-3-one, present in all species but highest in Phorbas glaberrima. Several halogenated phenols including 2,4,6-tribromophenol were also abundant in Phorbas glaberrima as were halogenated anisoles in lower relative abundances. The halogenated phenols were analyzed without derivatization. The sample of Halichondria sp. contained the dibromotrichloro monoterpene MHC1, a recently described environmental contaminant in fish and seals. Retrospective analysis of other marine samples confirmed that 2,4,6-tribromophenol was present in seal blubberfrom both the Arctic and the Antarctic. The presence of naturally occurring organohalogens such as 2,4,6-tribromophenol and MHC-1 in Antarctic marine invertebrates thus provides a link to their occurrence in marine mammals.</t>
  </si>
  <si>
    <t>Univ Hohenheim, Inst Food Chem, D-70593 Stuttgart, Germany; Senckenburg Res Inst &amp; Nat Museum, Sect Marine Invertebrates 1, D-60325 Frankfurt, Germany</t>
  </si>
  <si>
    <t>University Hohenheim</t>
  </si>
  <si>
    <t>Univ Hohenheim, Inst Food Chem, D-70593 Stuttgart, Germany.</t>
  </si>
  <si>
    <t>w-vetter@uni-hohenheim.de</t>
  </si>
  <si>
    <t>AMER CHEMICAL SOC</t>
  </si>
  <si>
    <t>1155 16TH ST, NW, WASHINGTON, DC 20036 USA</t>
  </si>
  <si>
    <t>0013-936X</t>
  </si>
  <si>
    <t>1520-5851</t>
  </si>
  <si>
    <t>ENVIRON SCI TECHNOL</t>
  </si>
  <si>
    <t>Environ. Sci. Technol.</t>
  </si>
  <si>
    <t>10.1021/es0484597</t>
  </si>
  <si>
    <t>Engineering, Environmental; Environmental Sciences</t>
  </si>
  <si>
    <t>Engineering; Environmental Sciences &amp; Ecology</t>
  </si>
  <si>
    <t>933VY</t>
  </si>
  <si>
    <t>WOS:000229662200011</t>
  </si>
  <si>
    <t>Regoli, F; Nigro, M; Benedetti, M; Gorbi, S; Pretti, C; Gervasi, PG; Fattorini, D</t>
  </si>
  <si>
    <t>Interactions between metabolism of trace metals and xenobiotic agonists of the aryl hydrocarbon receptor in the antarctic fish Trematomus bernacchii environmental perspectives</t>
  </si>
  <si>
    <t>ENVIRONMENTAL TOXICOLOGY AND CHEMISTRY</t>
  </si>
  <si>
    <t>pollutants; interactions; bioaccumulation; cytochrome; P450; oxidative stress</t>
  </si>
  <si>
    <t>OXYRADICAL SCAVENGING CAPACITY; TERRA-NOVA BAY; OXIDATIVE STRESS; ADAMUSSIUM-COLBECKI; GENE-EXPRESSION; DOWN-REGULATION; CADMIUM; ANTIOXIDANTS; INDUCTION; HEPATOCYTES</t>
  </si>
  <si>
    <t>Although Antarctica is a pristine environment, organisms are challenged with contaminants either released locally or transported from industrialized regions through atmospheric circulation and marine food webs. Organisms from Terra Nova Bay also are exposed to a natural enrichment of cadmium, but to our knowledge, whether such environmental conditions influence biological responses to anthropogenic pollutants has never been considered. In the present study, the Antarctic rock cod (Trematomus bernacchii) was exposed to model chemicals, including polycyclic aromatic hydrocarbons (benzo[a]pyrene), persistent organic pollutants (2,3,7,8-tetrachlorodibenzo-p-dioxin [TCDD]), cadmium, and a combination of cadmium and TCDD. Analyzed parameters included chemical bioaccumulation, activity, and levels of biotransformation enzymes (cytochrome P4501A); metallothioneins and the efficiency of the antioxidant system measured as individual defenses (catalase, glutathione, glutathione reductase, glutathione S-transferases, and glutathione peroxidases); and total scavenging capacity toward peroxyl and hydroxyl radicals. Reciprocal interactions between metabolism of inorganic and organic pollutants were demonstrated. Dioxin enhanced the accumulation of cadmium, probably stored within proliferating endoplasmic reticulum, and cadmium suppressed the inducibility of cytochrome P4501A, allowing us to hypothesize a posttranscriptional mechanism as the depletion of heme group availability. Clear evidence of oxidative perturbation was provided by the inhibition of antioxidants and enhanced sensitivity to oxyradical toxicity in fish exposed to organic chemicals. Exposure to cadmium revealed counteracting responses of glutathione metabolism; however, these responses did not prevent a certain loss of antioxidant capacity toward peroxyl radicals. The pattern of antioxidant responses exhibited by fish coexposed to cadmium and TCDD was more similar to that observed for cadmium than to that observed for TCDD. The overall results suggest that elevated natural levels of cadmium in Antarctic organisms from Terra Nova Bay can limit biotransformation capability of polycyclic (halogenated) hydrocarbons, thus influencing the bioaccumulation and biological effects of these chemicals in key sentinel species.</t>
  </si>
  <si>
    <t>Univ Politecn Marche, Ist Biol &amp; Genet, Ancona, Italy; Univ Pisa, Dipartimento Patol Anim Profilassi &amp; Igiene Alime, Pisa, Italy; Univ Pisa, Dipartimento Morfol Umana &amp; Biol Applicata, Pisa, Italy; CNR, Ist Fisiol Clin, I-56100 Pisa, Italy</t>
  </si>
  <si>
    <t>Marche Polytechnic University; University of Pisa; University of Pisa; Consiglio Nazionale delle Ricerche (CNR)</t>
  </si>
  <si>
    <t>Univ Politecn Marche, Ist Biol &amp; Genet, Ancona, Italy.</t>
  </si>
  <si>
    <t>f.regoli@univpm.it</t>
  </si>
  <si>
    <t>Benedetti, Maura/K-5399-2016; Fattorini, Daniele/A-2969-2010; Pretti, Carlo/K-5948-2017; gorbi, stefania/K-5662-2016; Regoli, Francesco/K-2719-2018</t>
  </si>
  <si>
    <t>Benedetti, Maura/0000-0003-0803-3846; Fattorini, Daniele/0000-0002-5847-4722; Pretti, Carlo/0000-0003-4949-2088; gorbi, stefania/0000-0002-4232-2652; Regoli, Francesco/0000-0001-6084-6188</t>
  </si>
  <si>
    <t>0730-7268</t>
  </si>
  <si>
    <t>1552-8618</t>
  </si>
  <si>
    <t>ENVIRON TOXICOL CHEM</t>
  </si>
  <si>
    <t>Environ. Toxicol. Chem.</t>
  </si>
  <si>
    <t>10.1897/04-514R.1</t>
  </si>
  <si>
    <t>Environmental Sciences; Toxicology</t>
  </si>
  <si>
    <t>Environmental Sciences &amp; Ecology; Toxicology</t>
  </si>
  <si>
    <t>926RN</t>
  </si>
  <si>
    <t>WOS:000229140400022</t>
  </si>
  <si>
    <t>Pearce, DA</t>
  </si>
  <si>
    <t>The structure and stability of the bacterioplankton community in Antarctic freshwater lakes, subject to extremely rapid environmental change</t>
  </si>
  <si>
    <t>FEMS MICROBIOLOGY ECOLOGY</t>
  </si>
  <si>
    <t>International Conference on Arctic Microbiology</t>
  </si>
  <si>
    <t>MAR 22-25, 2004</t>
  </si>
  <si>
    <t>Rovaniemi, FINLAND</t>
  </si>
  <si>
    <t>bacterioplankton; Antarctic; community structure; DGGE; seasonal cycle; environmental change; climate change</t>
  </si>
  <si>
    <t>GRADIENT GEL-ELECTROPHORESIS; 16S RIBOSOMAL-RNA; TEMPORAL PLANKTON DYNAMICS; AMMONIA-OXIDIZING BACTERIA; MICROBIAL MAT COMMUNITY; HIGH-MOUNTAIN LAKE; SEASONAL PATTERNS; TEMPERATE LAKES; GENE FRAGMENTS; TROPHIC STATUS</t>
  </si>
  <si>
    <t>In this study, variation in the bacterioplankton community structure of three Antarctic lakes of different nutrient status, was determined in relation to physical and chemical gradients at depth and at time intervals, across the seasonal transition from winter ice-cover to the summer ice-free period. The three lakes studied were: Moss Lake (low nutrient, with typical nutrient concentrations of 80 mu g l(-1) nitrate and 10 mu g l(-1) dissolved reactive phosphate), Sombre Lake (low nutrient, but becoming progressively enriched, with typical nutrient concentrations of 185 mu g l(-1) nitrate and 7 mu g l(-1) dissolved reactive phosphate) and Heywood Lake (enriched, with typical nutrient concentrations of 1180 mu g l(-1) nitrate and 124 mu g l(-1) dissolved reactive phosphate). Bacterio plankton community structure was determined using a combination of PCR amplification of 16S rRNA gene fragments and denaturing gradient gel electrophoresis (DGGE). Results indicated marked changes in this bacterioplankton community structure, which were particularly associated with the transition period. However, significant changes also occurred during the period of holomixis. Comparison of the results from lakes of different nutrient status suggest that increased levels of nutrient input, and in the timing and duration of ice cover will lead to marked changes in the structure and stability of the bacterioplankton community at existing levels of environmental change. (c) 2005 Federation of European Microbiological Societies. Published by Elsevier B.V. All rights reserved.</t>
  </si>
  <si>
    <t>Pearce, DA (corresponding author), British Antarctic Survey, NERC, High Cross,Magingley Rd, Cambridge CB3 0ET, England.</t>
  </si>
  <si>
    <t>dpearce@bas.ac.uk</t>
  </si>
  <si>
    <t>Pearce, David/0000-0001-5292-4596</t>
  </si>
  <si>
    <t>0168-6496</t>
  </si>
  <si>
    <t>FEMS MICROBIOL ECOL</t>
  </si>
  <si>
    <t>FEMS Microbiol. Ecol.</t>
  </si>
  <si>
    <t>10.1016/j.femsec.2005.01.002</t>
  </si>
  <si>
    <t>937TM</t>
  </si>
  <si>
    <t>WOS:000229948500008</t>
  </si>
  <si>
    <t>Saul, DJ; Aislabie, JM; Brown, CE; Harris, L; Foght, JM</t>
  </si>
  <si>
    <t>Hydrocarbon contamination changes the bacterial diversity of soil from around Scott Base, Antarctica</t>
  </si>
  <si>
    <t>antarctic soil; bacterial diversity; hydrocarbon-contamination</t>
  </si>
  <si>
    <t>POLYCYCLIC AROMATIC-HYDROCARBONS; MCMURDO DRY VALLEYS; DEGRADING BACTERIA; LOW-TEMPERATURE; BIODEGRADATION; DEGRADATION; SPILLS; ACTINOBACTERIA; COMMUNITIES; CONSORTIUM</t>
  </si>
  <si>
    <t>A combination of culture-independent and culturing methods was used to determine the impacts of hydrocarbon contamination on the diversity of bacterial communities in coastal soil from Ross Island, Antarctica. While numbers of culturable aerobic heterotrophic microbes were 1-2 orders of magnitude higher in the hydrocarbon-contaminated soil than control soil, the populations were less diverse. Members of the divisions Fibrobacter/Acidobacterium, Cytophaga/Flavobacterium/Bacteroides, Deinococcus/Thermus, and Low G + C gram positive occurred almost exclusively in control soils whereas the contaminated soils were dominated by Proteobacteria; specifically, members of the genera Pseudomonas, Sphingomonas and Variovorax, some of which degrade hydrocarbons. Members of the Actinobacteria were found in both soils. (c) 2004 Federation of European Microbiological Societies. Published by Elsevier B.V. All rights reserved.</t>
  </si>
  <si>
    <t>Landcare Res, Hamilton 2010, New Zealand; Univ Auckland, Sch Biol Sci, Auckland, New Zealand; Univ Alberta, Edmonton, AB T6G 2E9, Canada</t>
  </si>
  <si>
    <t>Landcare Research - New Zealand; University of Auckland; University of Alberta</t>
  </si>
  <si>
    <t>Landcare Res, Private Bag 3127, Hamilton 2010, New Zealand.</t>
  </si>
  <si>
    <t>aislabiej@landcareresearch.co.nz</t>
  </si>
  <si>
    <t>Foght, Julia/A-2638-2014</t>
  </si>
  <si>
    <t>Foght, Julia/0000-0002-8614-3875</t>
  </si>
  <si>
    <t>OXFORD UNIV PRESS</t>
  </si>
  <si>
    <t>GREAT CLARENDON ST, OXFORD OX2 6DP, ENGLAND</t>
  </si>
  <si>
    <t>1574-6941</t>
  </si>
  <si>
    <t>10.1016/j.femsec.2004.11.007</t>
  </si>
  <si>
    <t>WOS:000229948500014</t>
  </si>
  <si>
    <t>Pepi, M; Cesàro, A; Liut, G; Baldi, F</t>
  </si>
  <si>
    <t>An antarctic psychrotrophic bacterium Halomonas sp ANT-3b, growing on n-hexadecane, produces a new emulsyfying glycolipid</t>
  </si>
  <si>
    <t>cold-adapted; n-hexadecane oxidation; fatty acids; emulsifier; gel permeation</t>
  </si>
  <si>
    <t>BIOSURFACTANT PRODUCTION; ACINETOBACTER-VENETIANUS; MICROBIAL-PRODUCTION; SP-NOV.; PSEUDOMONAS; BIOEMULSIFIER; PROTEIN; POLYSACCHARIDES; ASSIMILATION; TEMPERATURE</t>
  </si>
  <si>
    <t>A bacterial strain ANT-3b was isolated it the sea-ice seawater interface from Terra Nova Bay station, Ross Sea, Antarctica. It was isolated on mineral medium supplemented with 2% diesel fuel as a sole carbon and energy source and grown routinely on 2% n-hexadecane. Analysis of 16S rRNA gene sequence indicates that the strain has 99.8% sequence similarity with Halomonas neptunia. The strain ANT-3b was grown in mineral medium supplemented with n-hexadecane between 4 and 20 degrees C, but not at 30 degrees C. The maximum degradation rate of the n-alkane was measured at 15 degrees C, with 5.6 +/- 1.7 mg O-2 mu g(-1) protein d(-1). The strain ANT-3b produced emulsifying compounds when grown on n-hexadecane, but not on mineral medium supplemented with D-fructose. A preliminary characterisation of the emulsifier was carried out. The lipid moiety contained a mixture of fatty acids with a following composition in molar ratio: caprylic acid 18.85, myristic acid 1.0, palmitic acid 9.68, palmitoleic acid 5.69 and oleic acid 1.26. The polysaccharide moiety also contained a mixture of sugars with the following molar ratio: mannose 1.71, galactose 1.00 and glucose 2.96. The molecular weight of the glycolipid component determined by gel permeation chromatography was in the 18 kDa range and contained smaller fragments, possibly oligomeric contaminants. Transmission electron microscopy showed contact between the glycolipid secreted by the strain and n-hexadecane broken down to nanodroplets at the water interface, to form a material with mesophase (liquid crystal) organisation. (c) 2004 Federation of European Microbiological Societies. Published by Elsevier B.V. All rights reserved.</t>
  </si>
  <si>
    <t>Univ Ca Foscari, Dept Environm Sci, I-30121 Venice, Italy; Univ Trieste, Dept Biochem Biophys &amp; Macromol Chem, I-34127 Trieste, Italy</t>
  </si>
  <si>
    <t>Universita Ca Foscari Venezia; University of Trieste</t>
  </si>
  <si>
    <t>Univ Ca Foscari, Dept Environm Sci, Calle Larga S Marta,Dorsoduro 2137, I-30121 Venice, Italy.</t>
  </si>
  <si>
    <t>baldi@unive.it</t>
  </si>
  <si>
    <t>Pepi, Milva/AAF-9693-2020</t>
  </si>
  <si>
    <t>Pepi, Milva/0000-0002-9420-2011</t>
  </si>
  <si>
    <t>10.1016/j.femsec.2004.09.013</t>
  </si>
  <si>
    <t>WOS:000229948500015</t>
  </si>
  <si>
    <t>Little, LR; Smith, ADM; McDonald, AD; Punt, AE; Mapstone, BD; Pantus, F; Davies, CR</t>
  </si>
  <si>
    <t>Effects of size and fragmentation of marine reserves and fisher infringement on the catch and biomass of coral trout, Plectropomus leopardus, on the Great Barrier Reef, Australia</t>
  </si>
  <si>
    <t>FISHERIES MANAGEMENT AND ECOLOGY</t>
  </si>
  <si>
    <t>fisher behaviour; fisheries management; marine protected areas; meta-population model; Plectropomus leopardus</t>
  </si>
  <si>
    <t>PROTECTED AREAS; MANAGEMENT; RECRUITMENT; POPULATIONS; BEHAVIOR; CONNECTIVITY; MODELS</t>
  </si>
  <si>
    <t>A spatially structured simulation model of the population dynamics and line fishing exploitation of common coral trout, Plectropomus leopardus Lacepede, was used to evaluate the effects of infringement and different amounts and arrangements of marine reserves on the Reef Line Fishery of the Great Barrier Reef, Australia. With no marine reserves and under a constant future effort level equal to that for 1996, the size of the population was reduced and the biomass stabilised at about 40% of pre-exploitation levels. Marine reserves were ineffective at conserving biomass when limited infringement was allowed throughout an entire reserve. When infringement was absent altogether or limited to the edges of reserves, larger marine reserves lead to lower total catches and higher overall biomass. When infringement was limited to reserve edges, a single large closure was more effective at conserving biomass than more fragmented arrangements. Simulations suggested that marine reserves might lead to better conservation of a fishery-targeted species if infringement is negligible or limited to reserve margins. Even where infringement occurred only at the edges of reserves, a network of small reserves may be less effective at conserving a targeted species than a smaller number of larger reserves.</t>
  </si>
  <si>
    <t>CSIRO Marine Res, Hobart, Tas 7001, Australia; Univ Washington, Sch Aquat &amp; Fishery Sci, Seattle, WA 98195 USA; Univ Tasmania, CRC Antarctic Climate &amp; Ecosyst, Hobart, Tas, Australia; James Cook Univ N Queensland, CRC Reef Res, Townsville, Qld 4811, Australia; CSIRO Marine Res, Cleveland, Qld, Australia; Natl Oceans Off, Hobart, Tas, Australia</t>
  </si>
  <si>
    <t>Commonwealth Scientific &amp; Industrial Research Organisation (CSIRO); University of Washington; University of Washington Seattle; University of Tasmania; James Cook University; Commonwealth Scientific &amp; Industrial Research Organisation (CSIRO)</t>
  </si>
  <si>
    <t>Little, LR (corresponding author), CSIRO Marine Res, GPO Box 1538, Hobart, Tas 7001, Australia.</t>
  </si>
  <si>
    <t>rich.little@csiro.au</t>
  </si>
  <si>
    <t>Little, Rich/E-7578-2011; Smith, Tony D/A-4017-2012; Davies, Campbell R/N-8086-2013</t>
  </si>
  <si>
    <t>Little, Rich/0000-0002-5650-7391; Punt, Andre/0000-0001-8489-2488</t>
  </si>
  <si>
    <t>BLACKWELL PUBLISHING LTD</t>
  </si>
  <si>
    <t>9600 GARSINGTON RD, OXFORD OX4 2DG, OXON, ENGLAND</t>
  </si>
  <si>
    <t>0969-997X</t>
  </si>
  <si>
    <t>FISHERIES MANAG ECOL</t>
  </si>
  <si>
    <t>Fisheries Manag. Ecol.</t>
  </si>
  <si>
    <t>10.1111/j.1365-2400.2005.00440.x</t>
  </si>
  <si>
    <t>Fisheries</t>
  </si>
  <si>
    <t>921GG</t>
  </si>
  <si>
    <t>WOS:000228751600003</t>
  </si>
  <si>
    <t>Halfar, J; Mutti, M</t>
  </si>
  <si>
    <t>Global dominance of coralline red-algal facies: A response to Miocene oceanographic events</t>
  </si>
  <si>
    <t>GEOLOGY</t>
  </si>
  <si>
    <t>rhodolith; coralline red algae; Miocene; coral; nutrients</t>
  </si>
  <si>
    <t>CARBONATE; TEMPERATURE; EXTINCTION; DIVERSITY; NUTRIENT</t>
  </si>
  <si>
    <t>Rhodoliths (free-living coralline red algae) can thrive under a wide range of temperatures, reduced light, and increased nutrient levels, and often form a distinct so-called rhodalgal lithofacies that is an important component of Cenozoic shallow-water carbonates. Global distributions illustrate that from the late-early to early-late Miocene (Burdigalian-early Tortonian), rhodalgal facies reached peak abundances and commonly replaced coral-reef environments, accompanied by a decline in other carbonate-producing phototrophs. We argue that the dominance of red algae over coral reefs was triggered in the Burdigalian by enhanced trophic resources associated with a global increase in productivity, as evidenced by a long-term shift toward higher carbon isotope values. Rhodalgal lithofacies expanded further in the middle Miocene when strengthened thermal gradients associated with the establishment of the East Antarctic lee Sheet led to enhanced upwelling while climate change generated increased weathering rates, introducing land-derived nutrients into the oceans. Globally cooler temperatures following a climatic optimum in the early-middle Miocene contributed to sustain the dominance of red algae and prevented the recovery of coral reefs. The global shift in nearshore shallow-water carbonate producers to groups tolerant of higher levels of trophic resources provides further evidence for increased nutrient levels during that time interval and shows the sensitivity of shallow-water carbonate facies as indicators of past oceanographic conditions.</t>
  </si>
  <si>
    <t>Univ Stuttgart, Inst Geol &amp; Palaontol, D-70174 Stuttgart, Germany; Univ Potsdam, Inst Geowissensch, D-14415 Potsdam, Germany</t>
  </si>
  <si>
    <t>University of Stuttgart; University of Potsdam</t>
  </si>
  <si>
    <t>Univ Stuttgart, Inst Geol &amp; Palaontol, Herdweg 51, D-70174 Stuttgart, Germany.</t>
  </si>
  <si>
    <t>Halfar, Jochen/C-7317-2014</t>
  </si>
  <si>
    <t>GEOLOGICAL SOC AMER, INC</t>
  </si>
  <si>
    <t>BOULDER</t>
  </si>
  <si>
    <t>PO BOX 9140, BOULDER, CO 80301-9140 USA</t>
  </si>
  <si>
    <t>0091-7613</t>
  </si>
  <si>
    <t>1943-2682</t>
  </si>
  <si>
    <t>10.1130/G21462.1</t>
  </si>
  <si>
    <t>930ZE</t>
  </si>
  <si>
    <t>WOS:000229454800013</t>
  </si>
  <si>
    <t>Córdoba-Jabonero, C; Zorzano, MP; Selsis, F; Patel, MR; Cockell, CS</t>
  </si>
  <si>
    <t>Radiative habitable zones in martian polar environments</t>
  </si>
  <si>
    <t>ICARUS</t>
  </si>
  <si>
    <t>exobiology; ices; mars; surface; radiative transfer; solar radiation; terrestrial planets</t>
  </si>
  <si>
    <t>ORBITER CAMERA OBSERVATIONS; BACILLUS-SUBTILIS; LIQUID WATER; BIOLOGICAL IMPLICATIONS; ULTRAVIOLET-RADIATION; SNOW ALGAE; MARS; ICE; UV; SURVIVAL</t>
  </si>
  <si>
    <t>The biologically damaging solar ultraviolet (UV) radiation (quantified by the DNA-weighted dose) reaches the martian surface in extremely high levels. Searching for potentially habitable UV-protected environments on Mars, we considered the polar ice caps that consist of a seasonally varying CO2 ice cover and a permanent H2O ice layer. It was found that, though the CO2 ice is insufficient by itself to screen the UV radiation, at similar to 1 m depth within the perennial H2O ice the DNA-weighted dose is reduced to terrestrial levels. This depth depends strongly on the optical properties of the H2O ice layers (for instance snow-like layers). The Earth-like DNA-weighted dose and Photosynthetically Active Radiation (PAR) requirements were used to define the upper and lower limits of the northern and southern polar Radiative Habitable Zone (RHZ) for which a temporal and spatial mapping was performed. Based on these studies we conclude that photosynthetic life might be possible within the ice layers of the polar regions. The thickness varies along each martian polar spring and summer between similar to 1.5 and 2.4 m for H2O ice-like layers, and a few centimeters for snow-like covers. These martian Earth-like radiative habitable environments may be primary targets for future martian astrobiological missions. Special attention should be paid to planetary protection, since the polar RHZ may also be subject to terrestrial contamination by probes. (c) 2004 Elsevier Inc. All rights reserved.</t>
  </si>
  <si>
    <t>INTA, Area Invest &amp; Instrumentac Atmosfer, Madrid 28850, Spain; CSIC, Ctr Astrobiol, INTA, Madrid 28850, Spain; Ecole Normale Super Lyon, CRAL, F-69364 Lyon, France; Open Univ, Planetary &amp; Space Sci Res Inst, Milton Keynes MK7 6AA, Bucks, England; British Antarctic Survey, Cambridge CB3 0ET, England</t>
  </si>
  <si>
    <t>Consejo Superior de Investigaciones Cientificas (CSIC); CSIC - Centro de Astrobiologia (INTA); Consejo Superior de Investigaciones Cientificas (CSIC); CSIC - Centro de Astrobiologia (INTA); Ecole Normale Superieure de Lyon (ENS de LYON); Universite Claude Bernard Lyon 1; Open University - UK; UK Research &amp; Innovation (UKRI); Natural Environment Research Council (NERC); NERC British Antarctic Survey</t>
  </si>
  <si>
    <t>INTA, Area Invest &amp; Instrumentac Atmosfer, Ctra Ajalvir Km 4,Correjon Ardoz, Madrid 28850, Spain.</t>
  </si>
  <si>
    <t>cordobajc@inta.es</t>
  </si>
  <si>
    <t>Zorzano, María-Paz/F-2184-2015; Cordoba-Jabonero, Carmen/J-6331-2014</t>
  </si>
  <si>
    <t>Zorzano, María-Paz/0000-0002-4492-9650; Cordoba-Jabonero, Carmen/0000-0003-4859-471X; Selsis, Franck/0000-0001-9619-5356</t>
  </si>
  <si>
    <t>ACADEMIC PRESS INC ELSEVIER SCIENCE</t>
  </si>
  <si>
    <t>SAN DIEGO</t>
  </si>
  <si>
    <t>525 B ST, STE 1900, SAN DIEGO, CA 92101-4495 USA</t>
  </si>
  <si>
    <t>0019-1035</t>
  </si>
  <si>
    <t>1090-2643</t>
  </si>
  <si>
    <t>Icarus</t>
  </si>
  <si>
    <t>10.1016/j.icarus.2004.12.009</t>
  </si>
  <si>
    <t>926YH</t>
  </si>
  <si>
    <t>WOS:000229159100005</t>
  </si>
  <si>
    <t>Chu, D; Wiebe, PH</t>
  </si>
  <si>
    <t>Measurements of sound-speed and density contrasts of zooplankton in Antarctic waters</t>
  </si>
  <si>
    <t>ICES JOURNAL OF MARINE SCIENCE</t>
  </si>
  <si>
    <t>acoustic scattering; Antarctic krill; density contrast; krill; material properties; sound-speed contrast; western Antarctic Peninsula; zooplankton</t>
  </si>
  <si>
    <t>EGGS</t>
  </si>
  <si>
    <t>Sound-speed and density contrasts (h and g, respectively), two important acoustic material properties, of live zooplankton were measured off the western Antarctic Peninsula during a Southern Ocean GLOBEC cruise conducted from 9 April to 21 May 2002. The work included in situ sound-speed contrast and shipboard density-contrast measurements. The temperature and pressure (depth) dependence of the sound-speed contrast of Euphausia superba and E. crystallorophias as well as that of some other zooplankton species were investigated. The size range of E. superba used in the measurements varied from about 20 mm to 57 mm, with mean length of 36.7 turn and standard deviation of 9.8 turn, which covered life stages from juvenile to adult. For E. superba, there was no statistically significant depth dependence, but there was a moderate dependence of sound-speed and density contrasts on the size of the animals. The measured sound-speed contrast varied between 1.018 and 1.044, with mean value 1.0279 and standard deviation 0.0084, while the measured density contrast varied between 1.007 and 1.036, with mean value 1.0241 and standard deviation 0.0082. For E. crystallorophias and Calanus there was a measurable depth dependence in sound-speed contrast. The in situ sound-speed contrasts for E. crystallorophias were 1.025 +/- 0.004 to 1.029 +/- 0.009. For Calanus, they were variable, with one set giving a value of 0.949 +/- 0.001 and the other giving 1.013 +/- 0.002. Shipboard measurements of other taxa/species also showed substantial variation in g and h. In general, values of g ranged from 0.9402 to 1.051 and h ranged from 0.949 to 1.096. The variation of the material properties is related to species, type, size, stage, and in some cases depth of occurrence. The uncertainty of the estimates of zooplankton biomass attributable to these variations in g and h can be quite large (more than 100 fold). Improvements in making biological inferences from acoustic data depend strongly on increased information about the material properties of zooplankton and the biological causes for their variation, as well as a knowledge of the species composition and abundance. (c) 2005 International Council for the Exploration of the Sea. Published by Elsevier Ltd. All rights reserved.</t>
  </si>
  <si>
    <t>Woods Hole Oceanog Inst, Woods Hole, MA 02543 USA</t>
  </si>
  <si>
    <t>Woods Hole Oceanographic Institution</t>
  </si>
  <si>
    <t>Woods Hole Oceanog Inst, Woods Hole, MA 02543 USA.</t>
  </si>
  <si>
    <t>dchu@whoi.edu</t>
  </si>
  <si>
    <t>Chu, Dezhang/L-7004-2015</t>
  </si>
  <si>
    <t>Wiebe, Peter/0000-0002-6059-4651</t>
  </si>
  <si>
    <t>1054-3139</t>
  </si>
  <si>
    <t>1095-9289</t>
  </si>
  <si>
    <t>ICES J MAR SCI</t>
  </si>
  <si>
    <t>ICES J. Mar. Sci.</t>
  </si>
  <si>
    <t>10.1016/j.icesjms.2004.12.020</t>
  </si>
  <si>
    <t>Fisheries; Marine &amp; Freshwater Biology; Oceanography</t>
  </si>
  <si>
    <t>934GF</t>
  </si>
  <si>
    <t>WOS:000229694200020</t>
  </si>
  <si>
    <t>Shearer, WT; Zhang, SJ; Reuben, JM; Lee, BN; Butel, JS</t>
  </si>
  <si>
    <t>Effects of radiation and latent virus on immune responses in a space flight model</t>
  </si>
  <si>
    <t>JOURNAL OF ALLERGY AND CLINICAL IMMUNOLOGY</t>
  </si>
  <si>
    <t>space flight; radiation; polyoma virus injection; T lymphocytes; IFN-gamma; virus reactivation</t>
  </si>
  <si>
    <t>BODY PROTON-IRRADIATION; EPSTEIN-BARR-VIRUS; ACTIVE ANTIRETROVIRAL THERAPY; ANTARCTIC WINTER; DURATION MISSIONS; SPACEFLIGHT; SYSTEM; REACTIVATION; POPULATIONS; INFECTION</t>
  </si>
  <si>
    <t>Background: The immunosuppressive effects of space flight radiation and reactivation of latent virus infections in human beings are largely unknown. Objective: To develop a murine model that can predict the adverse effects of space flight radiation and reactivation of latent virus infection for human beings. Methods: In experiment I, some BALB/c mice received whole-body gamma-irradiation (3 Gy) on day 0 and murine polyoma virus (PyV) on day 1. In experiment II, mice received irradiation (3 Gy) or none on days 0 and/or 49, and PyV or none on day 1: A1, 3 Gy/PyV/3 Gy; A2, 3 Gy/PyV/0 Gy; B1, 0 Gy/PyV/3 Gy; B2, 0 Gy/PyV/0 Gy; C, 3 Gy/0 PyV/0 Gy; and D, 0 Gy/0 PyV/0 Gy. Results: In experiment 1, PyV was detected by PCR more frequently in several host organs tested and for a longer period of time in irradiated than in control animals. In experiment II, PyV replication in the spleen was detected in A1 &gt; B1 mice on days 10 and 20; both groups cleared PyV by day 49. After irradiation on day 49, reactivated PyV was detected in more B1 than A I mice. A I mice had lower spleen weights and cell counts than other groups at all time points. From 0 to 49 days, irradiation suppressed spleen cell proliferation to concanavalin A in all irradiated groups except in BI when the virus was cleared at day 20. PyV enhanced IFN-gamma production in all groups: B1 &gt; A1 &gt; C, D (0-49 days; all differences, P &lt;.05). Conclusion: This small animal model or space flight suggests that the combined effects of radiation and virus replication will significantly affect T-Iymphocyte-mediated immunity that may lead to chronic viral infection and malignancy.</t>
  </si>
  <si>
    <t>Baylor Coll Med, Dept Pediat, Sect Allergy &amp; Immunol, Houston, TX 77030 USA; Baylor Coll Med, Dept Mol Virol &amp; Microbiol, Houston, TX 77030 USA; Univ Texas, MD Anderson Canc Ctr, Dept Hematopathol, Houston, TX 77030 USA</t>
  </si>
  <si>
    <t>Baylor College of Medicine; Baylor College of Medicine; University of Texas System; UTMD Anderson Cancer Center</t>
  </si>
  <si>
    <t>Texas Childrens Hosp, 6621 Fannin St MC FC330-01, Houston, TX 77030 USA.</t>
  </si>
  <si>
    <t>wtsheare@TexasChildrensHospital.org</t>
  </si>
  <si>
    <t>Butel, Janet/0000-0002-6876-3245; Shearer, William/0000-0002-2483-2130</t>
  </si>
  <si>
    <t>MOSBY-ELSEVIER</t>
  </si>
  <si>
    <t>360 PARK AVENUE SOUTH, NEW YORK, NY 10010-1710 USA</t>
  </si>
  <si>
    <t>0091-6749</t>
  </si>
  <si>
    <t>1097-6825</t>
  </si>
  <si>
    <t>J ALLERGY CLIN IMMUN</t>
  </si>
  <si>
    <t>J. Allergy Clin. Immunol.</t>
  </si>
  <si>
    <t>10.1016/j.jaci.2005.03.003</t>
  </si>
  <si>
    <t>Allergy; Immunology</t>
  </si>
  <si>
    <t>935WZ</t>
  </si>
  <si>
    <t>WOS:000229815400030</t>
  </si>
  <si>
    <t>Fossat, E</t>
  </si>
  <si>
    <t>The Concordia station on the Antarctic plateau: The best site on Earth for the 21st century astronomers</t>
  </si>
  <si>
    <t>JOURNAL OF ASTROPHYSICS AND ASTRONOMY</t>
  </si>
  <si>
    <t>Aries International Workshop on Asteroseismology</t>
  </si>
  <si>
    <t>DEC 06-08, 2004</t>
  </si>
  <si>
    <t>Uttaranchal Acad Adm, Manora Peak, INDIA</t>
  </si>
  <si>
    <t>Uttaranchal Acad Adm</t>
  </si>
  <si>
    <t>site testing; astronomical photometry; infrared astronomy; sub-mm astronomy; Antarctic astronomy</t>
  </si>
  <si>
    <t>DOME-C</t>
  </si>
  <si>
    <t>On the Antarctic plateau, a joint project of French and Italian polar programmes is nearing completion: the Concordia station will be open for winter over operation in 2005. The high altitude and high latitude of this site, the exceptionally cold, clear and stable atmosphere, its incredible astronomical seeing, the almost indefinitely flat snow surface and the not-so-difficult access make this site the most promising on Earth for future ground-based astronomical projects in various fields, including long term photometry, infrared high sensitivity imaging and high angular resolution and high contrast imaging.</t>
  </si>
  <si>
    <t>Univ Nice, Lab Astrophys Nice, Nice, France</t>
  </si>
  <si>
    <t>Universite Cote d'Azur</t>
  </si>
  <si>
    <t>Fossat, E (corresponding author), Univ Nice, Lab Astrophys Nice, Nice, France.</t>
  </si>
  <si>
    <t>Eric.Fossat@unice.fr</t>
  </si>
  <si>
    <t>INDIAN ACADEMY SCIENCES</t>
  </si>
  <si>
    <t>BANGALORE</t>
  </si>
  <si>
    <t>C V RAMAN AVENUE, SADASHIVANAGAR, P B #8005, BANGALORE 560 080, INDIA</t>
  </si>
  <si>
    <t>0250-6335</t>
  </si>
  <si>
    <t>J ASTROPHYS ASTRON</t>
  </si>
  <si>
    <t>J. Astrophys. Astron.</t>
  </si>
  <si>
    <t>JUN-SEP</t>
  </si>
  <si>
    <t>2-3</t>
  </si>
  <si>
    <t>10.1007/BF02702343</t>
  </si>
  <si>
    <t>965YX</t>
  </si>
  <si>
    <t>WOS:000231987900024</t>
  </si>
  <si>
    <t>Erofeeva, SY; Padman, L; Egbert, G</t>
  </si>
  <si>
    <t>Assimilation of ship-mounted ADCP data for barotropic tides: Application to the Ross Sea</t>
  </si>
  <si>
    <t>JOURNAL OF ATMOSPHERIC AND OCEANIC TECHNOLOGY</t>
  </si>
  <si>
    <t>DOPPLER CURRENT PROFILER; TIDAL CURRENTS; INVERSE; SHELF; MODEL; OREGON; ISLAND</t>
  </si>
  <si>
    <t>The application of a generalized inverse approach for assimilating vessel-mounted acoustic Doppler current profiler (VM-ADCP) data into numerical solutions of barotropic tides is described. The derived estimates of tidal currents can be used to detide the VM-ADCP data and expose underlying mean circulation. The methodology is illustrated with data assimilation models of tidal currents in the Ross Sea. The prior solution, obtained by solving the nonlinear shallow-water equations by time stepping with a linear bottom friction parameterization and elevation of open boundary conditions obtained from a circum-Antarctic tide model, provides reasonably good fit to most available moored current meter data. Two inverse solutions were obtained: one assimilating moored current meter records and the other assimilating three cruises of VM-ADCP data. Fitting either the mooring time series or the VM-ADCP records leads to only small changes relative to the prior solution currents, except over the shelf break where short length scale, energetic diurnal topographic vorticity waves are present. It is shown that the dynamics embedded in the representer functions provides reasonable tidal corrections even with no prior information about forcing at open boundaries.</t>
  </si>
  <si>
    <t>Oregon State Univ, Coll Ocean &amp; Atmospher Sci, Corvallis, OR 97331 USA; Earth &amp; Space Res, Seattle, WA USA</t>
  </si>
  <si>
    <t>Oregon State University</t>
  </si>
  <si>
    <t>Erofeeva, SY (corresponding author), Oregon State Univ, Coll Ocean &amp; Atmospher Sci, 104 Ocean Adm Bldg, Corvallis, OR 97331 USA.</t>
  </si>
  <si>
    <t>serofeev@coas.oregonstate.edu</t>
  </si>
  <si>
    <t>Padman, Laurence/AAH-3808-2021</t>
  </si>
  <si>
    <t>Padman, Laurence/0000-0003-2010-642X; Erofeeva, Svetlana/0000-0002-4489-7505; Egbert, Gary/0000-0003-1276-8538</t>
  </si>
  <si>
    <t>0739-0572</t>
  </si>
  <si>
    <t>J ATMOS OCEAN TECH</t>
  </si>
  <si>
    <t>J. Atmos. Ocean. Technol.</t>
  </si>
  <si>
    <t>10.1175/JTECH1735.1</t>
  </si>
  <si>
    <t>Engineering, Ocean; Meteorology &amp; Atmospheric Sciences</t>
  </si>
  <si>
    <t>Engineering; Meteorology &amp; Atmospheric Sciences</t>
  </si>
  <si>
    <t>940JK</t>
  </si>
  <si>
    <t>WOS:000230140600009</t>
  </si>
  <si>
    <t>Bowie, AR; Achterberg, EP; Ussher, S; Worsfold, PJ</t>
  </si>
  <si>
    <t>Design of an automated flow injection-chemiluminescence instrument incorporating a miniature photomultiplier tube for monitoring picomolar concentrations of iron in seawater</t>
  </si>
  <si>
    <t>JOURNAL OF AUTOMATED METHODS &amp; MANAGEMENT IN CHEMISTRY</t>
  </si>
  <si>
    <t>PLASMA-MASS SPECTROMETRY; DISSOLVED IRON; SOUTHERN-OCEAN; WATERS; COPPER; SEA</t>
  </si>
  <si>
    <t>A flow-injection (FI)-based instrument under LabVIEW control for monitoring iron in marine waters is described. The instrument incorporates a miniature, low-power photomultiplier tube (PMT), and a number of microelectric and solenoid actuated valves and peristaltic pumps. The software allows full control of all flow injection components and processing of the data from the PMT. The optimised system is capable of 20 injections per hour, including preconcentration and wash steps. The detection limit (3 sd of the blank) is 21 pM at sea and the linear range is 21-2000 pM with a 60-second sample load time. Typical precision between replicate FI peaks is 5.9 +/- 3.2% (n = 4) over the linear range.</t>
  </si>
  <si>
    <t>Univ Plymouth, Plymouth Environm Res Ctr, Sch Earth Ocean &amp; Environm Sci, Plymouth PL4 8AA, Devon, England; Univ Tasmania, Antarctic CRC, Hobart, Tas 7001, Australia</t>
  </si>
  <si>
    <t>University of Plymouth; University of Tasmania</t>
  </si>
  <si>
    <t>Univ Plymouth, Plymouth Environm Res Ctr, Sch Earth Ocean &amp; Environm Sci, Plymouth PL4 8AA, Devon, England.</t>
  </si>
  <si>
    <t>pworsfold@plymouth.ac.uk</t>
  </si>
  <si>
    <t>Achterberg, Eric P/C-5820-2009; Bowie, Andrew/C-8677-2013</t>
  </si>
  <si>
    <t>Ussher, Simon/0000-0001-6724-9212; Bowie, Andrew/0000-0002-5144-7799; Worsfold, Paul/0000-0002-2262-7723</t>
  </si>
  <si>
    <t>1463-9246</t>
  </si>
  <si>
    <t>1464-5068</t>
  </si>
  <si>
    <t>J AUTOM METHOD MANAG</t>
  </si>
  <si>
    <t>J. Autom. Methods Manag. Chem.</t>
  </si>
  <si>
    <t>10.1155/JAMMC.2005.37</t>
  </si>
  <si>
    <t>Chemistry, Analytical; Instruments &amp; Instrumentation</t>
  </si>
  <si>
    <t>Chemistry; Instruments &amp; Instrumentation</t>
  </si>
  <si>
    <t>978DU</t>
  </si>
  <si>
    <t>Green Submitted, Green Published, gold</t>
  </si>
  <si>
    <t>WOS:000232854600002</t>
  </si>
  <si>
    <t>Hudson, SR; Brandt, RE</t>
  </si>
  <si>
    <t>A look at the surface-based temperature inversion on the Antarctic plateau</t>
  </si>
  <si>
    <t>SOUTH-POLE; SNOW; BALANCE; ICE; VARIABILITY; STATION</t>
  </si>
  <si>
    <t>Data from radiosondes, towers, and a thermistor string are used to characterize the temperature inversion at two stations: the Amundsen-Scott Station at the South Pole, and the somewhat higher and colder Dome C Station at a lower latitude. Ten years of temperature data front a 22-m tower at the South Pole are analyzed. The data include 2- and 22-m temperatures for the entire period and 13-m temperatures for the last 2 yr. Statistics of the individual temperatures and the differences among the three levels are presented for summer (December and January) and winter (April-September). The relationships of temperature and inversion strength in the lowest 22 m with wind speed and downward longwave flux are examined for the winter months. Two preferred regimes, one warming and one cooling. are found in the temperature versus longwave flux data, but the physical causes of these regimes have not been determined. The minimum temperatures and the maximum inversions tend to occur not with calm winds. but with winds of 3-5 m s(-1), likely due to the inversion wind. This inversion wind also explains why the near-surface winds at South Pole blow almost exclusively from the northeast quadrant. Temperature data from the surface to 2 m above the surface from South Pole in the winter of 2001 are presented. showing that the steepest temperature gradient in the entire atmosphere is in the lowest 20 cm. The median difference between the temperatures at 2 in and the surface is over 1.0 K in winters under clear skies this difference increases to about 1.3 K. Monthly mean temperature profiles of the lowest 30 kin of the atmosphere over South Pole are presented, based off 10 yr of radiosonde data. These profiles show large variations in lower-stratospheric temperatures, and in the strength and depth of the surface-based inversion. The near-destruction of a strong inversion at South Pole during 7 h on 8 September 1992 is examined using a thermal-conductivity model of the snowpack, driven by the measured downward Ion-wave flux. The downward flux increased when a cloud moved over the station, and it seems that this increase in radiation alone can explain the magnitude and timing of the warming near the surface. Temperature data from the 2003/04 and 2004/05 summers at Dome C Station Life presented to show the effects of the diurnal cycle of solar elevation over the Antarctic Plateau. These data include surface temperature and 2- and 30-m air temperatures, as well as radiosonde air temperatures. They show that stroma inversions, averaging 10 K between the surface and 30 m, develop quickly at night when the sun is low in the sky, but are destroyed during the middle of the day. The diurnal temperature range at the surface was 13 K, but only 3 K at 30 m.</t>
  </si>
  <si>
    <t>Univ Washington, Dept Atmospher Sci, Seattle, WA 98195 USA</t>
  </si>
  <si>
    <t>University of Washington; University of Washington Seattle</t>
  </si>
  <si>
    <t>Hudson, SR (corresponding author), Univ Washington, Dept Atmospher Sci, Box 351640, Seattle, WA 98195 USA.</t>
  </si>
  <si>
    <t>hudson@atmos.washington.edu</t>
  </si>
  <si>
    <t>Hudson, Stephen/ABD-9923-2020</t>
  </si>
  <si>
    <t>Hudson, Stephen/0000-0002-6498-9167</t>
  </si>
  <si>
    <t>10.1175/JCLI3360.1</t>
  </si>
  <si>
    <t>937ZU</t>
  </si>
  <si>
    <t>hybrid</t>
  </si>
  <si>
    <t>WOS:000229970500003</t>
  </si>
  <si>
    <t>Jung, Y; Wirkus, E; Amendola, D; Gomez, G</t>
  </si>
  <si>
    <t>Characteristics of odorant elicited calcium fluxes in acutely-isolated chick olfactory neurons</t>
  </si>
  <si>
    <t>JOURNAL OF COMPARATIVE PHYSIOLOGY A-NEUROETHOLOGY SENSORY NEURAL AND BEHAVIORAL PHYSIOLOGY</t>
  </si>
  <si>
    <t>bird; calcium imaging; olfactory receptor neurons; odorant sensitivity; domestic chicken</t>
  </si>
  <si>
    <t>ANTARCTIC PROCELLARIIFORM SEABIRDS; GATED CATION CHANNEL; RECEPTOR NEURONS; BULB NEURONS; SIGNAL-TRANSDUCTION; VOMERONASAL ORGAN; DIMETHYL SULFIDE; DOMESTIC-FOWL; ISOLATED TOAD; RAT</t>
  </si>
  <si>
    <t>To understand avian olfaction, it is important to characterize the peripheral olfactory system of a representative bird species. This study determined the functional properties of olfactory receptor neurons of the chicken olfactory epithelium. Individual neurons were acutely isolated from embryonic day-18 to newborn chicks by dissection and enzymatic dissociation. We tested single olfactory neurons with behaviorally relevant odorant mixtures and measured their responses using ratiometric calcium imaging; techniques used in this study were identical to those used in other studies of olfaction in other vertebrate species. Chick olfactory neurons displayed properties similar to those found in other vertebrates: they responded to odorant stimuli with either decreases or increases in intracellular calcium, calcium increases were mediated by a calcium influx, and responses were reversibly inhibited by 100 mu M L-cis-diltiazem, 1 mM Neomycin, and 20 mu M U73122, which are biochemical inhibitors of second messenger signaling. In addition, some cells showed a complex pattern of responses, with different odorant mixtures eliciting increases or decreases in calcium in the same cell. It appears that there are common features of odorant signaling shared by a variety of vertebrate species, as well as features that may be peculiar to chickens.</t>
  </si>
  <si>
    <t>Univ Scranton, Dept Biol, Scranton, PA 18510 USA</t>
  </si>
  <si>
    <t>University of Scranton</t>
  </si>
  <si>
    <t>Gomez, G (corresponding author), Univ Scranton, Dept Biol, Scranton, PA 18510 USA.</t>
  </si>
  <si>
    <t>gomezg2@scranton.edu</t>
  </si>
  <si>
    <t>Gomez, George/0000-0002-0605-315X</t>
  </si>
  <si>
    <t>SPRINGER HEIDELBERG</t>
  </si>
  <si>
    <t>HEIDELBERG</t>
  </si>
  <si>
    <t>TIERGARTENSTRASSE 17, D-69121 HEIDELBERG, GERMANY</t>
  </si>
  <si>
    <t>0340-7594</t>
  </si>
  <si>
    <t>1432-1351</t>
  </si>
  <si>
    <t>J COMP PHYSIOL A</t>
  </si>
  <si>
    <t>J. Comp. Physiol. A -Neuroethol. Sens. Neural Behav. Physiol.</t>
  </si>
  <si>
    <t>10.1007/s00359-005-0617-9</t>
  </si>
  <si>
    <t>Behavioral Sciences; Neurosciences; Physiology; Zoology</t>
  </si>
  <si>
    <t>Behavioral Sciences; Neurosciences &amp; Neurology; Physiology; Zoology</t>
  </si>
  <si>
    <t>936TE</t>
  </si>
  <si>
    <t>WOS:000229877500003</t>
  </si>
  <si>
    <t>Pointer, MA; Cheng, CHC; Bowmaker, JK; Parry, JWL; Soto, N; Jeffery, G; Cowing, JA; Hunt, DA</t>
  </si>
  <si>
    <t>Adaptations to an extreme environment: retinal organisation and spectral properties of photoreceptors in Antarctic notothenioid fish</t>
  </si>
  <si>
    <t>JOURNAL OF EXPERIMENTAL BIOLOGY</t>
  </si>
  <si>
    <t>icefish; visual pigment; retina; photoreceptor</t>
  </si>
  <si>
    <t>AMINO-ACID SUBSTITUTION; ROD VISUAL PIGMENTS; PAGOTHENIA-BORCHGREVINKI; MOLECULAR-MECHANISM; ADAPTIVE EVOLUTION; SENSITIVE CONES; COTTOID FISH; COLOR-VISION; VERTEBRATE; RHODOPSIN</t>
  </si>
  <si>
    <t>The Notothenioid suborder of teleosts comprises a number of species that live below the sea ice of the Antarctic. The presence of 'antifreeze' glycoproteins in these fish as an adaptation to freezing temperature has been well documented but little is known about the adaptations of the visual system of these fish to a light environment in which both the quantity and spectral composition of downwelling sunlight has been reduced by passage through ice and snow. In this study, we show that the red/long-wave sensitive (LWS) opsin gene is not present in these fish but a UV-sensitive short-wave sensitive (SWS1) pigment is expressed along with blue-sensitive (SWS2) and green/middle-wave sensitive (Rh2) pigments. The identity and spectral location of maximal absorbance of the SWS1 and Rh2 pigments was confirmed by in vitro expression of the recombinant opsins followed by regeneration with 11-cis retinal. Only the SWS2 pigment showed interspecific variations in peak absorbance. Expression of the Rh2 opsin is localised to double cone receptors in both the central and peripheral retina, whereas SWS2 opsin expression is present only in the peripheral retina. SWS1 cones could not be identified by either microspectrophotometry or in situ hybridisation, presumably reflecting their low number and/or uneven distribution across the retina. A study of photoreceptor organisation in the retina of two species, the shallower dwelling Trematomus hansoni and the deeper dwelling Dissostichus mawsoni, identified a square mosaic in the former, and a row mosaic in the latter species; the row mosaic in Dissostichus mawsoni with less tightly packed cone photoreceptors allows for a higher rod photoreceptor density.</t>
  </si>
  <si>
    <t>UCL, Inst Ophthalmol, London EC1V 9EL, England; Univ Illinois, Dept Anim Biol, Urbana, IL 61801 USA</t>
  </si>
  <si>
    <t>University of London; University College London; University of Illinois System; University of Illinois Urbana-Champaign</t>
  </si>
  <si>
    <t>UCL, Inst Ophthalmol, 11-43 Bath St, London EC1V 9EL, England.</t>
  </si>
  <si>
    <t>d.hunt@ucl.ac.uk</t>
  </si>
  <si>
    <t>Parry, Juliet/ABE-9205-2020; Parry, Juliet/C-2204-2008</t>
  </si>
  <si>
    <t>COMPANY BIOLOGISTS LTD</t>
  </si>
  <si>
    <t>CAMBRIDGE</t>
  </si>
  <si>
    <t>BIDDER BUILDING, STATION RD, HISTON, CAMBRIDGE CB24 9LF, ENGLAND</t>
  </si>
  <si>
    <t>0022-0949</t>
  </si>
  <si>
    <t>1477-9145</t>
  </si>
  <si>
    <t>J EXP BIOL</t>
  </si>
  <si>
    <t>J. Exp. Biol.</t>
  </si>
  <si>
    <t>10.1242/jeb.01647</t>
  </si>
  <si>
    <t>Biology</t>
  </si>
  <si>
    <t>Life Sciences &amp; Biomedicine - Other Topics</t>
  </si>
  <si>
    <t>943NL</t>
  </si>
  <si>
    <t>WOS:000230360700017</t>
  </si>
  <si>
    <t>Storch, D; Lannig, G; Pörtner, HO</t>
  </si>
  <si>
    <t>Temperature-dependent protein synthesis capacities in Antarctic and temperate (North Sea) fish (Zoarcidae)</t>
  </si>
  <si>
    <t>RNA translational capacity; RNA : protein ratio; Zoarces viviparus; Pachycara brachycephalum; cold acclimation; cold adaptation</t>
  </si>
  <si>
    <t>NUCLEIC-ACID CONTENT; RAINBOW-TROUT; GADUS-MORHUA; SYNTHESIS SYSTEM; SYNTHESIS RATES; THERMAL TOLERANCE; ANGUILLA-ANGUILLA; COLD ADAPTATION; DYNAMIC ACTION; EUROPEAN EEL</t>
  </si>
  <si>
    <t>For an evaluation of effects of seasonal cold acclimation and evolutionary cold adaptation on protein synthesis capacity, the protein synthesis apparatus was isolated from the gills and white muscle of Antarctic eelpout Pachycara brachycephalum and North Sea eelpout Zoarces viviparus. Both species had been acclimated to 0 degrees C (control) and 5 degrees C (Antarctic) and 5 degrees C and 10 degrees C (North Sea control). The translational capacities of the protein synthesis machineries were determined in an optimised cell-free in vitro system. The results demonstrate that tissues from the polar zoarcid possess cold-adapted protein synthesis machineries, indicated by low activation energies and, especially, high RNA translational capacities at similar RNA:protein ratios when compared to temperate zoarcids at 10 degrees C. When both species were brought to 5 degrees C, the temperate species displayed cold compensated protein synthesis capacities caused by elevated RNA:protein ratios. Warm exposure (from 0 to 5 degrees C) of the Antarctic zoarcid revealed a capacity for thermal acclimation indicated by a reduction in protein synthesis capacities associated with lower RNA:protein ratios.</t>
  </si>
  <si>
    <t>Storch, D (corresponding author), Alfred Wegener Inst Polar &amp; Marine Res, Handelshafen 12, D-27570 Bremerhaven, Germany.</t>
  </si>
  <si>
    <t>dstorch@awi-bremerhaven.de</t>
  </si>
  <si>
    <t>Pörtner, Hans-O./ISU-9397-2023; Lannig, Gisela/D-5793-2017; Pörtner, Hans-O./K-9429-2016</t>
  </si>
  <si>
    <t>COMPANY OF BIOLOGISTS LTD</t>
  </si>
  <si>
    <t>BIDDER BUILDING CAMBRIDGE COMMERCIAL PARK COWLEY RD, CAMBRIDGE CB4 4DL, CAMBS, ENGLAND</t>
  </si>
  <si>
    <t>10.1242/jeb.01632</t>
  </si>
  <si>
    <t>WOS:000230360700021</t>
  </si>
  <si>
    <t>Shannon, AJ; Browne, JA; Boyd, J; Fitzpatrick, DA; Burnell, AM</t>
  </si>
  <si>
    <t>The anhydrobiotic potential and molecular phylogenetics of species and strains of Panagrolaimus (Nematoda, Panagrolaimidae)</t>
  </si>
  <si>
    <t>Panagrolaimus; nematode; anhydrobiosis; desiccation; trehalose; phylogeny; rDNA ITS; rDNA D3</t>
  </si>
  <si>
    <t>EVAPORATIVE WATER-LOSS; DESICCATION TOLERANCE; TREHALOSE; EVOLUTION; SURVIVAL; STABILIZATION; CRYPTOBIOSIS; PRESERVATION; POPULATIONS; MECHANISMS</t>
  </si>
  <si>
    <t>Members of the genus Panagrolaimus are bacterial-feeding nematodes that occupy a diversity of niches ranging from Antarctic and temperate soils to terrestrial mosses. Some members of this genus are able to survive extreme desiccation by entering into a state of suspended animation known as anhydrobiosis. We have assembled a collection of Panagrolaimus species and strains and have investigated their anhydrobiotic phenotypes. Our data show that within the genus Panagrolaimus there is a continuum of strains ranging from those unable to survive exposure to low relative humidity (RH) without prior preconditioning at high RH (slow desiccation strategists), through strains that have limited ability to survive rapid desiccation but whose anhydrobiotic ability improves upon preconditioning, to strains such as P. superbus that can readily survive immediate exposure to severe desiccation (fast desiccation strategists). Using this panel of nematodes we investigated the effect of preincubation at high RH on the accumulation of trehalose and on the nematodes' anhydrobiotic potential. We found that there is a strong correlation between trehalose induction and anhydrobiotic survival in Panagrolaimus. Furthermore, the high trehalose levels observed in fully hydrated P.superbus (10% dry mass) suggest that constitutive expression of trehalose pre-adapts this fast dehydration strategist to combat desiccation. All the strains observed, regardless of survival rates, undertook both coiling and clumping, which has the effect of reducing surface area and slowing the rate of water loss during desiccation. Phylogenetic analyses were carried out to investigate whether the observed anhydrobiotic phenotypes were the result of convergent evolution or represented a single phylogenetic lineage. These analyses, derived from alignments of the rDNA ITS and D3 sequences, indicate that the strongly anhydrobiotic strains of Panagrolaimus form a single phylogenetic lineage, which is separate from the weakly anhydrobiotic strains. The weakly anhydrobiotic strains are also phylogenetically divergent from each other. Our data indicate that Panagrolaimus has the potential to be an excellent model system for the investigation of molecular aspects of nematode anhydrobiosis.</t>
  </si>
  <si>
    <t>Natl Univ Ireland Maynooth, Inst Bioengn &amp; Agroecol, Dept Biol, Maynooth, Kildare, Ireland</t>
  </si>
  <si>
    <t>Maynooth University</t>
  </si>
  <si>
    <t>Natl Univ Ireland Maynooth, Inst Bioengn &amp; Agroecol, Dept Biol, Maynooth, Kildare, Ireland.</t>
  </si>
  <si>
    <t>ann.burnell@nuim.ie</t>
  </si>
  <si>
    <t>Fitzpatrick, David/0000-0001-7345-6998; Browne, John/0000-0002-7698-9834</t>
  </si>
  <si>
    <t>10.1242/jeb.01629</t>
  </si>
  <si>
    <t>WOS:000230360700023</t>
  </si>
  <si>
    <t>Cromer, L; Williams, R; Gibson, JAE</t>
  </si>
  <si>
    <t>Trematornus scotti in Beaver Lake:: the first record of a fish from a non-marine Antarctic habitat. (vol 66, pg 1493, 2005)</t>
  </si>
  <si>
    <t>JOURNAL OF FISH BIOLOGY</t>
  </si>
  <si>
    <t>WILEY-BLACKWELL PUBLISHING, INC</t>
  </si>
  <si>
    <t>MALDEN</t>
  </si>
  <si>
    <t>COMMERCE PLACE, 350 MAIN ST, MALDEN 02148, MA USA</t>
  </si>
  <si>
    <t>0022-1112</t>
  </si>
  <si>
    <t>J FISH BIOL</t>
  </si>
  <si>
    <t>J. Fish Biol.</t>
  </si>
  <si>
    <t>Fisheries; Marine &amp; Freshwater Biology</t>
  </si>
  <si>
    <t>940CL</t>
  </si>
  <si>
    <t>WOS:000230121200021</t>
  </si>
  <si>
    <t>Trematomus scotti in Beaver Lake:: the first record of a fish from a non-marine Antarctic habitat (vol 66, pg 1493, 2005)</t>
  </si>
  <si>
    <t>Univ Tasmania, Sch Zool, Hobart, Tas 7001, Australia; Australian Antarctic Div, Kingston, Tas 7050, Australia; Univ Tasmania, IASOS, Hobart, Tas 7001, Australia</t>
  </si>
  <si>
    <t>University of Tasmania; Australian Antarctic Division; University of Tasmania</t>
  </si>
  <si>
    <t>Cromer, L (corresponding author), Univ Tasmania, Sch Zool, Private Bag 5, Hobart, Tas 7001, Australia.</t>
  </si>
  <si>
    <t>10.1111/j.1095-8649.2005.00837.x</t>
  </si>
  <si>
    <t>WOS:000230121200022</t>
  </si>
  <si>
    <t>Tsidu, GM; Stiller, GP; von Clarmann, T; Funke, B; Höpfner, M; Fischer, H; Glatthor, N; Grabowski, U; Kellmann, S; Kiefer, M; Linden, A; López-Puertas, M; Milz, M; Steck, T; Wang, DY</t>
  </si>
  <si>
    <t>NOy from Michelson Interferometer for Passive Atmospheric Sounding on Environmental Satellite during the Southern Hemisphere polar vortex split in September/October 2002 -: art. no. D11301</t>
  </si>
  <si>
    <t>JOURNAL OF GEOPHYSICAL RESEARCH-ATMOSPHERES</t>
  </si>
  <si>
    <t>LOWER STRATOSPHERE; ARCTIC VORTEX; ANTARCTIC STRATOSPHERE; NOY-N2O CORRELATION; TRANSPORT; DENITRIFICATION; WINTER; OZONE; AIR; MICROWINDOWS</t>
  </si>
  <si>
    <t>[ 1] Reactive nitrogen species HNO3, ClONO2, NO, NO2, and N2O5 were retrieved from high resolution atmospheric limb emission spectra measured by the Michelson Interferometer for Passive Atmospheric Sounding (MIPAS) on board the European Environmental Satellite(ENVISAT) during the split of the southern polar vortex in September/October 2002. The chemical and transport processes determining the NOy deficit and partitioning are investigated here. Most of the available NOy in the polar vortex was in the form of HNO3 and NOx in the lower stratosphere except for the period 22 - 27 September when NOy was mostly in the form of HNO3 and ClONO2 between the 400 K and 475 K levels. The dominant process throughout the lower stratosphere was enhanced photolysis of HNO3 resulting in a steady increase of NOx during the split of vortex. The enhanced photolysis was initiated following the displacement of the vortex to low and midlatitudes. This observation was confirmed by the buildup of HNO3 after this period in mid-October following the vortex repositioning on the pole. N2O5 inside the vortex increased above the 625 K level during the 22 - 27 September period following the enhancement of NOx from HNO3 photolysis. On the 475 K level, the NOy volume mixing ratio (VMR) inside the vortex is lower than the reference value derived from its proxy early winter exvortex relation by about 12.5 ppbv during the whole period. The artificial reference linear tracer method suggests that the contribution to the NOy deficit due to quasi-horizontal mixing and denitrification before the split of vortex is approximately 25% and 75%, respectively. After the vortex split the contribution due to mixing increased to 40 45%, while that due to denitrification decreased to 55 - 60%. The quasi-isentropic mixing line approach uses [CH4]:[N2O] vortex scatterplots to estimate the mixing induced NOy deficit to be 55 - 60% before, and 62% after, the vortex split.</t>
  </si>
  <si>
    <t>Forschungszentrum Karlsruhe, Inst Meteorol &amp; Klimaforsch, D-76021 Karlsruhe, Germany; Univ Karlsruhe, D-76021 Karlsruhe, Germany; CSIC, Inst Astrofis Andalucia, Granada, Spain</t>
  </si>
  <si>
    <t>Helmholtz Association; Karlsruhe Institute of Technology; Helmholtz Association; Karlsruhe Institute of Technology; Consejo Superior de Investigaciones Cientificas (CSIC); CSIC - Instituto de Astrofisica de Andalucia (IAA)</t>
  </si>
  <si>
    <t>Forschungszentrum Karlsruhe, Inst Meteorol &amp; Klimaforsch, Postfach 3640, D-76021 Karlsruhe, Germany.</t>
  </si>
  <si>
    <t>gizaw.mengistu.tsidu@imk.fzk.de</t>
  </si>
  <si>
    <t>Tsidu, Gizaw Mengistu/AAG-6048-2019; Milz, Mathias/C-9899-2011; Kiefer, Michael/A-7254-2013; Stiller, Gabriele P./A-7340-2013; Glatthor, Norbert/B-2141-2013; Funke, Bernd/C-2162-2008; Hopfner, Michael/A-7255-2013; Lopez-Puertas, Manuel/M-8219-2013</t>
  </si>
  <si>
    <t>Stiller, Gabriele P./0000-0003-2883-6873; Funke, Bernd/0000-0003-0462-4702; Hopfner, Michael/0000-0002-4174-9531; von Clarmann, Thomas/0000-0003-2219-3379; Lopez-Puertas, Manuel/0000-0003-2941-7734; Milz, Mathias/0000-0002-4478-2185</t>
  </si>
  <si>
    <t>2169-897X</t>
  </si>
  <si>
    <t>2169-8996</t>
  </si>
  <si>
    <t>J GEOPHYS RES-ATMOS</t>
  </si>
  <si>
    <t>J. Geophys. Res.-Atmos.</t>
  </si>
  <si>
    <t>D11</t>
  </si>
  <si>
    <t>D11301</t>
  </si>
  <si>
    <t>10.1029/2004JD005322</t>
  </si>
  <si>
    <t>936BW</t>
  </si>
  <si>
    <t>WOS:000229829100004</t>
  </si>
  <si>
    <t>Powell, DC; Markus, T; Stössel, A</t>
  </si>
  <si>
    <t>Effects of snow depth forcing on Southern Ocean sea ice simulations -: art. no. C06001</t>
  </si>
  <si>
    <t>ANTARCTIC PACK-ICE; THICKNESS DISTRIBUTION; MODEL; SENSITIVITY; COVER; WINTER; BELLINGSHAUSEN; ASSIMILATION; AMUNDSEN; CYCLE</t>
  </si>
  <si>
    <t>[1] The aim of this study is to investigate the competing effects of a snow layer's insulation and snow-ice formation on thermodynamic sea ice thickness growth in response to changes in precipitation. Using optimal interpolation to assimilate Special Sensor Microwave/ Imager satellite-derived snow depths into a dynamic-thermodynamic sea ice model, we create a daily assimilated snow depth product for the years 1992 - 2003. The assimilated snow depths are used to adjust National Centers for Environmental Prediction/ National Center for Atmospheric Research reanalysis precipitation rates which subsequently force the model's snow depths and freshwater input. These adjusted precipitation rates are used to create a best estimate snow depth climatology. This climatology provides the basis for a series of sensitivity experiments. Precipitation rates are varied from 0.0 to a doubling of the present day precipitation. Initially, sea ice volume decreases with increasing precipitation rate multiplying factor (PRMF) because of the insulation effects of a deeper snow layer. The turning point at which the insulation effect becomes balanced by the snow to ice conversion effect ranges from PRMF = 0.50 to PRMF = 0.75, depending upon the snow thermal conductivity and density. This suggests that with present-day precipitation rates the snow effect on Southern Ocean sea ice is dominated by snow-ice formation rather than the snow's insulation.</t>
  </si>
  <si>
    <t>Univ Maryland Baltimore Cty, Dept Phys, Baltimore, MD 20715 USA; Univ Maryland Baltimore Cty, Joint Ctr Earth Syst Technol, Baltimore, MD 20715 USA; NASA, Goddard Space Flight Ctr, Lab Hydrospher Proc, Greenbelt, MD 20771 USA; Texas A&amp;M Univ, Dept Oceanog, College Stn, TX 77843 USA</t>
  </si>
  <si>
    <t>University System of Maryland; University of Maryland Baltimore County; University System of Maryland; University of Maryland Baltimore County; National Aeronautics &amp; Space Administration (NASA); NASA Goddard Space Flight Center; Texas A&amp;M University System; Texas A&amp;M University College Station</t>
  </si>
  <si>
    <t>Univ Maryland Baltimore Cty, Dept Phys, Baltimore, MD 20715 USA.</t>
  </si>
  <si>
    <t>thorsten.markus@nasa.gov</t>
  </si>
  <si>
    <t>Markus, Thorsten/D-5365-2012</t>
  </si>
  <si>
    <t>C06001</t>
  </si>
  <si>
    <t>10.1029/2003JC002212</t>
  </si>
  <si>
    <t>936CF</t>
  </si>
  <si>
    <t>WOS:000229830300001</t>
  </si>
  <si>
    <t>Cardoso, JCR; Clark, MS; Viera, FA; Bridge, PD; Gilles, A; Power, DM</t>
  </si>
  <si>
    <t>The secretin G-protein-coupled receptor family: teleost receptors</t>
  </si>
  <si>
    <t>JOURNAL OF MOLECULAR ENDOCRINOLOGY</t>
  </si>
  <si>
    <t>CYCLASE-ACTIVATING POLYPEPTIDE; VASOACTIVE-INTESTINAL-PEPTIDE; EVOLUTIONARY RELATIONSHIPS; COMPARATIVE GENOMICS; SEQUENCE ALIGNMENT; FISH; GENE; DIVERGENCE; EXPRESSION; DUPLICATION</t>
  </si>
  <si>
    <t>Twenty-one members of the secretin family (family 2) of G-protein-coupled receptors (GPCRs) were identified via directed cloning and data-mining of the Fugu Genome Consortium database, representing the most comprehensive description of secretin GPCRs in a teleost fish to date. Duplicated genes were identified for many of the family members, namely the receptors for pituitary adenylate cyclase-activating polypeptide (PACAP)/vasoactive intestinal peptide (VIP), calcitonin, calcitonin gene-related peptide (CGRP), growth hormone releasing hormone (GHRH), glucagon receptor/glucagon-like peptide (GLP) and parathyroid hormone-related peptide (PTHrP)/PTH. Mining of other teleost genomes (zebrafish and Tetraodon) revealed that the duplicated genes identified in the Takifugu genome were also present in these fish. Additional database searching of the Escherichia coli, yeast, Drosophila, Caenorhabditis elegans and Ciona genomes revealed that the family 2 of GPCRs were only present in the multicellular organisms. Orthologues of all the human secretin receptors were identified with the exception of secretin itself. Additional database searches in the Fugu Genome Consortium database also failed to reveal a secretin ligand and so it is hypothesised that both the receptor and the ligand evolved after the divergence of teleost/tetrapod lineages. Phylogenetic analysis at both the protein and the DNA level provided strong support for each of the individual receptor family groupings, but weak support between groups, making evolutionary inferences difficult. A more critical analysis of the PACAP/VIP receptor family confirmed previous hypotheses that the vasoactive intestinal peptide receptor (VPAC(1)R) gene is the ancestral form of the receptor.</t>
  </si>
  <si>
    <t>Univ Algarve, Ctr Marine Sci, P-8000810 Faro, Portugal; British Antarctic Survey, Cambridge CB3 0ET, England; Fac Sci St Charles, UPRES Biodivers, F-13331 Marseille, France</t>
  </si>
  <si>
    <t>Universidade do Algarve; UK Research &amp; Innovation (UKRI); Natural Environment Research Council (NERC); NERC British Antarctic Survey</t>
  </si>
  <si>
    <t>Univ Algarve, Ctr Marine Sci, Campus Gambelas, P-8000810 Faro, Portugal.</t>
  </si>
  <si>
    <t>mscl@bas.ac.uk</t>
  </si>
  <si>
    <t>dos Reis Cardoso, Joao Carlos/M-4151-2013; Power, Deborah M/D-3333-2011; Clark, Melody/D-7371-2014</t>
  </si>
  <si>
    <t>dos Reis Cardoso, Joao Carlos/0000-0001-7890-0170; Power, Deborah M/0000-0003-1366-0246; Clark, Melody/0000-0002-3442-3824</t>
  </si>
  <si>
    <t>BIOSCIENTIFICA LTD</t>
  </si>
  <si>
    <t>BRISTOL</t>
  </si>
  <si>
    <t>STARLING HOUSE, 1600 BRISTOL PARKWAY N, BRISTOL, ENGLAND</t>
  </si>
  <si>
    <t>0952-5041</t>
  </si>
  <si>
    <t>1479-6813</t>
  </si>
  <si>
    <t>J MOL ENDOCRINOL</t>
  </si>
  <si>
    <t>J. Mol. Endocrinol.</t>
  </si>
  <si>
    <t>10.1677/jme.1.01730</t>
  </si>
  <si>
    <t>Endocrinology &amp; Metabolism</t>
  </si>
  <si>
    <t>941FW</t>
  </si>
  <si>
    <t>WOS:000230201700015</t>
  </si>
  <si>
    <t>Hogg, NG; Thurnherr, AM</t>
  </si>
  <si>
    <t>A zonal pathway for NADW in the South Atlantic</t>
  </si>
  <si>
    <t>JOURNAL OF OCEANOGRAPHY</t>
  </si>
  <si>
    <t>Symposium on Western Boundary Currents</t>
  </si>
  <si>
    <t>AUG 02-04, 2003</t>
  </si>
  <si>
    <t>Sapporo, JAPAN</t>
  </si>
  <si>
    <t>Deep Western Boundary Current; North Atlantic Deep Water; South Atlantic circulation; inverse model; Deep Basin experiment</t>
  </si>
  <si>
    <t>ANTARCTIC BOTTOM WATER; DEEP-WATER; INTERMEDIATE WATER; WESTERN BOUNDARY; CIRCULATION; BRAZIL; OCEAN; FLOW; VARIABILITY; RECIRCULATION</t>
  </si>
  <si>
    <t>Several large deployments of neutrally buoyant floats took place within the Antarctic Intermediate (AAIW), North Atlantic Deep Water (NADW), and the Antarctic Bottom Water (AABW) of the South Atlantic in the 1990s and a number of hydrographic sections were occupied as well. Here we use the spatially and temporally averaged velocities measured by these floats, combined with the hydrographic section data and various estimates of regional current transports from moored current meter arrays, to determine the circulation of the three major subthermocline water masses in a zonal strip across the South Atlantic between the latitudes of 19 degrees S and 30 degrees S. We concentrate on this region because the historical literature suggests that it is where the Deep Western Boundary Current containing NADW bifurcates. In support of this notion, we rind that a net of about 5 Sv. of the 15-20 Sv that crosses 19 degrees S does continue zonally eastward at least as far as the Mid-Atlantic Ridge. Once across the ridge it takes a circuit to the north along the ridge flanks before returning to the south in the eastern half of the Angola Basin. The data suggest that the NADW then continues on into the Indian Ocean. This scheme is discussed in the context of distributions of dissolved oxygen, silicate and salinity. In spite of the many float-years of data that were collected in the region a surprising result is that their impact on the computed solutions is quite modest. Although the focus is on the NADW we also discuss the circulation for the AAIW and AABW layers.</t>
  </si>
  <si>
    <t>Woods Hole Oceanog Inst, Woods Hole, MA 02543 USA; Lamont Doherty Earth Observ, Palisades, NY 10964 USA</t>
  </si>
  <si>
    <t>Woods Hole Oceanographic Institution; Columbia University</t>
  </si>
  <si>
    <t>Hogg, NG (corresponding author), Woods Hole Oceanog Inst, Woods Hole, MA 02543 USA.</t>
  </si>
  <si>
    <t>nhogg@whoi.edu</t>
  </si>
  <si>
    <t>Thurnherr, Andreas/0000-0002-1977-7122</t>
  </si>
  <si>
    <t>0916-8370</t>
  </si>
  <si>
    <t>1573-868X</t>
  </si>
  <si>
    <t>J OCEANOGR</t>
  </si>
  <si>
    <t>J. Oceanogr.</t>
  </si>
  <si>
    <t>10.1007/s10872-005-0058-7</t>
  </si>
  <si>
    <t>922XZ</t>
  </si>
  <si>
    <t>WOS:000228874500011</t>
  </si>
  <si>
    <t>Karsten, U; Friedl, T; Schumann, R; Hoyer, K; Lembcke, S</t>
  </si>
  <si>
    <t>Mycosporine-like amino acids and phylogenies in green algae:: Prasiola and its relatives from the Trebouxiophyceae (Chlorophyta)</t>
  </si>
  <si>
    <t>JOURNAL OF PHYCOLOGY</t>
  </si>
  <si>
    <t>Coccomyxa; Lobosphaera; MAAs; Myrmecia; Prasiola; Prasiolopsis; rDNA phylogeny; terrestrial green algae; Trebouxiophyceae; Trichophilus; UV radiation</t>
  </si>
  <si>
    <t>UV-ABSORBING COMPOUNDS; ULTRAVIOLET-RADIATION; ANTARCTIC MACROALGAE; MOLECULAR DIVERSITY; SUNSCREEN COMPOUNDS; FRESH-WATER; DNA; ORGANISMS; CHLORELLA; REGION</t>
  </si>
  <si>
    <t>A UV-absorbing mycosporine-like amino acid (324 nm-MAA), so far only known from the green macroalgal genus Prasiola (Trebouxiophyceae), was also identified in other morphologically diverse green algae closely related to Prasiola spp. in 18S rDNA phylogenies. Using HPLC, a second UV-absorbing compound was found only in Myrmecia incisa Reisigal among all studied strains. This substance showed an absorption maximum at 322 nm and hence was designated as putative 322 nm-MAA. Preliminary UV-exposure experiments indicated that all species containing one or the other MAA showed a strong accumulation of the respective compound, thus supporting their function as putative UV sunscreen. Both UV-absorbing substances were only identified in the studied members of the Trebouxiophyceae but were absent in members of the Ulvophyceae and Chlorophyceae. When mapped on an 18S rDNA phylogeny, the distribution of 324 nm-MAA was found to be scattered within the Trebouxiophyceae but was consistent with a distribution that follows phylogenetic patterns rather than ecological adaptations. The 324 nm-MAA was also detected in two phylogenetically related species from freshwater as well as from subaerial habitats, Watanabea reniformis Hanagata et al. and isolate UR7/5, which were phylogenetically independent of Prasiola and its closer allies. MAAs were absent in another Trebouxiophyceae clade comprising lichen photobionts (Coccomyxa pringsheimii Jaag) as well as freshwater picoplanktonic algae (Choricystis minor (Skuja) Fott). The data presented suggest a chemotaxonomic value of the 324 nm-MAA in green algal taxonomy. To address the paraphyly of the genus Myrmecia Printz as presently circumscribed, we propose the new combination Lobosphaera incisa.</t>
  </si>
  <si>
    <t>Univ Rostock, Dept Biol Sci, D-18051 Rostock, Germany; Univ Gottingen, Albrecht von Haller Inst Pflanzenwissensch, Abt Expt Phykol &amp; Sammlung Algenkulturen, D-37073 Gottingen, Germany; Harvard Univ, Brigham &amp; Womens Hosp, Sch Med, Boston, MA 02115 USA</t>
  </si>
  <si>
    <t>University of Rostock; University of Gottingen; Harvard University; Harvard Medical School; Brigham &amp; Women's Hospital</t>
  </si>
  <si>
    <t>Karsten, U (corresponding author), Univ Rostock, Dept Biol Sci, Albert Einstein Str 3, D-18051 Rostock, Germany.</t>
  </si>
  <si>
    <t>ulf.karsten@biologie.uni-rostock.de</t>
  </si>
  <si>
    <t>Friedl, Thomas/AAS-4403-2021; Friedl, Thomas/AAQ-4606-2021</t>
  </si>
  <si>
    <t>Friedl, Thomas/0000-0002-4070-776X</t>
  </si>
  <si>
    <t>0022-3646</t>
  </si>
  <si>
    <t>1529-8817</t>
  </si>
  <si>
    <t>J PHYCOL</t>
  </si>
  <si>
    <t>J. Phycol.</t>
  </si>
  <si>
    <t>10.1111/j.1529-8817.2005.00081.x</t>
  </si>
  <si>
    <t>930OV</t>
  </si>
  <si>
    <t>WOS:000229426700012</t>
  </si>
  <si>
    <t>Stammer, D</t>
  </si>
  <si>
    <t>Adjusting internal model errors through ocean state estimation</t>
  </si>
  <si>
    <t>JOURNAL OF PHYSICAL OCEANOGRAPHY</t>
  </si>
  <si>
    <t>GENERAL-CIRCULATION MODEL; OVERTURNING CIRCULATION; VOLUME; HEAT</t>
  </si>
  <si>
    <t>Oceanic state estimation is a powerful tool to estimate internal model parameters simultaneously with the model's initial conditions and surface forcing field that jointly would bring a model into consistency with time-varying large-scale ocean observations. Here an attempt to estimate geographically varying fields of horizontal and vertical viscosity and diffusivity within a 9-yr-long estimation procedure is presented. The estimated coefficients are highly efficient in preserving watermass characteristics and frontal structures by reducing the model temperature and salinity drift, especially around the Southern Ocean. The estimated mean circulation results in stronger transports of western boundary currents and of the Antarctic Circumpolar Current. Moreover, an increase of about 10% in the strength of the meridional overturning circulation and in the poleward heat transport can be found. Estimated changes in the horizontal mixing coefficients seem to agree with the notion that diapycnal mixing is superfically high with Laplacian mixing formulations, especially close to frontal structures in the ocean. In comparison with adjustments in tracer diffusivities (vertically and horizontally), adjustments of viscosity coefficients are fairly minor outside lateral boundary regions, suggesting that state estimation attempts might be most successful in providing enhanced insight into tracer mixing.</t>
  </si>
  <si>
    <t>Univ Calif San Diego, Scripps Inst Oceanog, Ctr Observat Modeling &amp; Predict, Phys Oceanog Res Div, La Jolla, CA 92093 USA</t>
  </si>
  <si>
    <t>University of California System; University of California San Diego; Scripps Institution of Oceanography</t>
  </si>
  <si>
    <t>Stammer, D (corresponding author), Univ Hamburg, Inst Meereskunde, Bundesstr 53, D-20146 Hamburg, Germany.</t>
  </si>
  <si>
    <t>stammer@ifm.uni-hamburg.de</t>
  </si>
  <si>
    <t>0022-3670</t>
  </si>
  <si>
    <t>J PHYS OCEANOGR</t>
  </si>
  <si>
    <t>J. Phys. Oceanogr.</t>
  </si>
  <si>
    <t>10.1175/JPO2733.1</t>
  </si>
  <si>
    <t>946OA</t>
  </si>
  <si>
    <t>WOS:000230580500016</t>
  </si>
  <si>
    <t>Trevorrow, MV; Mackas, DL; Benfield, MC</t>
  </si>
  <si>
    <t>Comparison of multifrequency acoustic and in situ measurements of zooplankton abundances in Knight Inlet, British Columbia</t>
  </si>
  <si>
    <t>JOURNAL OF THE ACOUSTICAL SOCIETY OF AMERICA</t>
  </si>
  <si>
    <t>SOUND-SCATTERING; TARGET STRENGTHS; STRATIFIED FLOW; ANTARCTIC KRILL; SOLITARY WAVES; PISCES-IV; DISTRIBUTIONS; SILL; BACKSCATTERING; OCEANOGRAPHY</t>
  </si>
  <si>
    <t>An investigation of midwater zooplankton aggregations in a coastal fjord was conducted in November 2002. This study focused on quantitative comparisons between a calibrated, three-frequency (38, 120, and 200 kHz) vessel-based echo-sounder, a multinet towed zooplankton sampler (BIONESS), and a high-resolution underwater camera (ZOOVIS). Daytime layers of euphausiids and amphipods near 70-90-m depth were observed in lower parts of the inlet, especially concentrated by tidal flows around a sill. Quantitative backscatter measurements of euphausiids and amphipods, combined with in situ size and abundance estimates, and using an assumed tilt-angle distribution, were in agreement with averaged fluid-cylinder scattering models produced by Stanton and Chu [ICES J. Mar. Sci. 57, 793-807, (2000)]. Acoustic measurements of physonect siphonophores in the upper inlet were found to have a strong 38-kHz scattering strength, in agreement with a damped bubble scattering model using a diameter of 0.4 mm. In relatively dense euphausiid layers, ZOOVIS abundance estimates were found to be a factor of 2 to 4 higher than the acoustic estimates, potentially due to deviations from assumed euphausiid orientation. Nocturnal near-surface euphausiid scattering exhibited a strong (15 dB) and rapid (seconds) sensitivity to vessel lights, interpreted as due to changing animal orientation.</t>
  </si>
  <si>
    <t>Def Res Estab Atlantic, Dartmouth, NS B2Y 3Z7, Canada; Fisheries Oceans Canada Inst Ocean Sci, Sidney, BC V8L 4B2, Canada; Louisiana State Univ, Dept Oceanog &amp; Coastal Sci, Baton Rouge, LA 70803 USA</t>
  </si>
  <si>
    <t>Fisheries &amp; Oceans Canada; Louisiana State University System; Louisiana State University</t>
  </si>
  <si>
    <t>Def Res Estab Atlantic, POB 1012, Dartmouth, NS B2Y 3Z7, Canada.</t>
  </si>
  <si>
    <t>mark.trevorrow@drdc-rddc.gc.ca</t>
  </si>
  <si>
    <t>Benfield, Mark/0000-0002-0095-3843</t>
  </si>
  <si>
    <t>ACOUSTICAL SOC AMER AMER INST PHYSICS</t>
  </si>
  <si>
    <t>MELVILLE</t>
  </si>
  <si>
    <t>STE 1 NO 1, 2 HUNTINGTON QUADRANGLE, MELVILLE, NY 11747-4502 USA</t>
  </si>
  <si>
    <t>0001-4966</t>
  </si>
  <si>
    <t>1520-8524</t>
  </si>
  <si>
    <t>J ACOUST SOC AM</t>
  </si>
  <si>
    <t>J. Acoust. Soc. Am.</t>
  </si>
  <si>
    <t>10.1121/1.1920087</t>
  </si>
  <si>
    <t>Acoustics; Audiology &amp; Speech-Language Pathology</t>
  </si>
  <si>
    <t>934OQ</t>
  </si>
  <si>
    <t>WOS:000229718500028</t>
  </si>
  <si>
    <t>Pütz, K; Cherel, Y</t>
  </si>
  <si>
    <t>The diving behaviour of brooding king penguins (Aptenodytes patagonicus) from the Falkland Islands:: variation in dive profiles and synchronous underwater swimming provide new insights into their foraging strategies</t>
  </si>
  <si>
    <t>MARINE BIOLOGY</t>
  </si>
  <si>
    <t>ROCKHOPPER PENGUINS; SPHENISCUS-MAGELLANICUS; CROZET ARCHIPELAGO; FEEDING-BEHAVIOR; SOUTH-AMERICA; SUMMER; DEPTH; AREAS; TEMPERATURE; ATTACHMENT</t>
  </si>
  <si>
    <t>The diving behaviour of king penguins (Aptenodytes patagonicus) was studied on the Falkland Islands, where a small population (ca. 300 fledglings year(-1)) is located at the geographical limit of their breeding range. King penguins rearing newly hatched chicks were equipped with time-depth recorders before leaving for sea. In total, 20,175 dives &gt; 3 am were recorded from 12 birds during 15 foraging trips with a mean duration of 5.7 +/- 2.3 days. The majority of the trips was directed up to 500 km to the northeast of the breeding colony in slope waters of, and oceanic waters beyond, the Patagonian shelf. Mean time spent underwater accounted for 42 +/- 9% of the foraging trip. Mean dive depth achieved was 55 +/- 16 m; maximum dive depth recorded was 343 m. Mean dive duration was 159 +/- 25 s; maximum dive duration was 480 s. The mean vertical distance covered was 140 +/- 65 km trip(-1); and on average birds covered 25 km day(-1). Synchronous diving behaviour was observed in two birds for a period of about 24 h after leaving the colony. Dive depth correlated positively with: (1) light intensity, (2) dive duration and (3) vertical velocities, thus confirming previous findings obtained from conspecifics at other breeding sites and indicating comparable diving behaviour. However, separation of dives according to their profile - V-, U-, or W-shaped-revealed significant differences between certain dive parameters. For a given depth range, bottom time was longer and vertical velocities higher in W-dives than in U-dives. This, together with a higher number of W-dives at dawn and dusk, suggests that foraging is more effective during W-dives than U-dives, and during twilight. These findings imply that king penguins have to make more complex decisions, individually and socially, on the performance of the subsequent dive than previously thought.</t>
  </si>
  <si>
    <t>Antarctic Res Trust, Stanley, England; CNRS, UPR 1934, Ctr Etud Biol Chize, F-79360 Villiers En Bois, France</t>
  </si>
  <si>
    <t>Centre National de la Recherche Scientifique (CNRS)</t>
  </si>
  <si>
    <t>Pütz, K (corresponding author), Oste Hamme Kanal 10, D-27432 Bremervorde, Germany.</t>
  </si>
  <si>
    <t>puetz@antarctic-research.de</t>
  </si>
  <si>
    <t>Puetz, Klemens/0000-0003-1375-2669</t>
  </si>
  <si>
    <t>0025-3162</t>
  </si>
  <si>
    <t>MAR BIOL</t>
  </si>
  <si>
    <t>Mar. Biol.</t>
  </si>
  <si>
    <t>10.1007/s00227-005-1577-x</t>
  </si>
  <si>
    <t>Marine &amp; Freshwater Biology</t>
  </si>
  <si>
    <t>933KE</t>
  </si>
  <si>
    <t>WOS:000229626500001</t>
  </si>
  <si>
    <t>Peck, LS; Barnes, DKA; Willmott, J</t>
  </si>
  <si>
    <t>Responses to extreme seasonality in food supply: diet plasticity in Antarctic brachiopods</t>
  </si>
  <si>
    <t>LIOTHYRELLA-UVA; SIGNY ISLAND; STERECHINUS-NEUMAYERI; METABOLISM; GROWTH; SEA</t>
  </si>
  <si>
    <t>The ice gouged, shallow, polar seabed is a challenging place to live, but suspension feeders are particularly rich and abundant there. The extreme seasonality of food supply from phytoplankton at high latitudes, combined with very stable temperatures has not, however, reduced the range of life history adaptations. Some species extend feeding and growing periods by concentrating on smaller, lower biomass but longer duration, fractions of phytoplankton. Here we show that shallow-water Antarctic brachiopods can switch from pelagic to benthic food sources when required. Like most suspension feeders they utilise the extremely abundant summer phytoplankton blooms, but unlike many other groups brachiopods do not appear to become dormant in winter. In shallow sites around the world wind and wave action resuspend benthic material, making it available to filter feeders. Widespread ice disturbance at polar latitudes may also cause resuspension enhancing local food supply. Articulate brachiopods have blind-ended guts and probably feed little once a large bolus of food has been collected, so a resuspension event may represent a significant enhancement of yearly food availability. The key to their ability to utilise unpredictable food sources is the same trait responsible for their polar success; very low maintenance costs and a catholic diet. Utilising resuspended material could be an important factor in global brachiopod distributions. Previously difficult to explain high brachiopod densities in New Zealand, Northwest Europe and the Canadian Pacific Coast may occur because these areas are all in the world's windiest, and hence strongest resuspension, latitudes.</t>
  </si>
  <si>
    <t>British Antarctic Survey, Nat Environm Res Council, Cambridge CB3 0ET, England</t>
  </si>
  <si>
    <t>British Antarctic Survey, Nat Environm Res Council, Madingley Rd, Cambridge CB3 0ET, England.</t>
  </si>
  <si>
    <t>lspe@bas.ac.uk</t>
  </si>
  <si>
    <t>1432-1793</t>
  </si>
  <si>
    <t>10.1007/s00227-005-1591-z</t>
  </si>
  <si>
    <t>WOS:000229626500018</t>
  </si>
  <si>
    <t>Verling, E; Barnes, DKA; Crook, AC</t>
  </si>
  <si>
    <t>Smashing tests? Patterns and mechanisms of adult mortality in a declining echinoid population</t>
  </si>
  <si>
    <t>URCHINS STRONGYLOCENTROTUS-DROEBACHIENSIS; PARACENTROTUS-LIVIDUS ECHINOIDEA; LOUGH INE; COVERING BEHAVIOR; MASS MORTALITY; NOVA-SCOTIA; ECOLOGY; DISTURBANCE; COMMUNITY; VARIABILITY</t>
  </si>
  <si>
    <t>Mass mortality of echinoids is well documented, and has potentially profound effects on benthic communities. However, no study to date has quantitatively investigated how regular, predictable events such as winter storms might lead to large mortality events in pivotal echinoid species. Hydrodynamic disturbances can be major drivers of crucial biological processes in benthic communities. For echinoid populations in particular, wave action in shallow waters generated by high winds (winter storms) can cause displacement, damage and even death to individuals. However, evidence for displacement-mediated mortality is scant in the literature, in part because it is so difficult to demonstrate in exposed environments where echinoids are frequently found. In this study, we examined mortality in a sheltered subtidal population of the European purple sea urchin Paracentrotus lividus over a 3-year period, and examined the role that dislodgement by wave action or predation might play in these mortality patterns. Because our study population has been in decline for the past three decades, we considered it important to evaluate its current status in addition to assessing the contribution that adult mortality makes to that decline. We sampled twice per month, using the density of freshly dead echinoid material to assess the extent of adult mortality. The Irish Meteorological Service provided our estimates of wind speed data. We compared historical and recent data on P. lividus size frequency data to investigate change the population structure (Poor recruitment would be caused by failure to spawn over a prolonged period). Our data suggest ongoing declines in this population, and support the theory that the decline of the P. lividus population of Lough Hyne is a result of persistent recruitment failure linked to repeated cool maximum sea surface temperatures. Although we found peaks of P. lividus mortality were coincident with spikes in wind speed, mortality was low, and seems unlikely to have contributed significantly to the dramatic decline in P. lividus in the past three decades.</t>
  </si>
  <si>
    <t>Univ Coll, Dept Zool Ecol &amp; Plant Sci, Cork, Ireland; British Antarctic Survey, Div Biol Sci, Cambridge CB3 0ET, England; Univ Reading, Ctr Dev Teaching &amp; Learning, Reading RG6 6AA, Berks, England</t>
  </si>
  <si>
    <t>University College Cork; UK Research &amp; Innovation (UKRI); Natural Environment Research Council (NERC); NERC British Antarctic Survey; University of Reading</t>
  </si>
  <si>
    <t>Verling, E (corresponding author), Smithsonian Environm Res Ctr, Marine Invas Res Lab, 647 Contees Wharf Rd, Edgewater, MD 21037 USA.</t>
  </si>
  <si>
    <t>verlinge@si.edu</t>
  </si>
  <si>
    <t>Verling, Emma/0000-0002-1019-5812</t>
  </si>
  <si>
    <t>10.1007/s00227-005-1563-3</t>
  </si>
  <si>
    <t>WOS:000229626500023</t>
  </si>
  <si>
    <t>Brenke, N</t>
  </si>
  <si>
    <t>An epibenthic sledge for operations on marine soft bottom and bedrock</t>
  </si>
  <si>
    <t>MARINE TECHNOLOGY SOCIETY JOURNAL</t>
  </si>
  <si>
    <t>ASELLOTE ISOPODS CRUSTACEA; DEEP-SEA; KOLBEINSEY RIDGE; SUPRABENTHIC FAUNA; TENSION RECORDER; NORTH; DIVERSITY; SAMPLER; ICELAND; ABUNDANCE</t>
  </si>
  <si>
    <t>A multi-purpose epibenthic sledge, designed for sampling of small benthic macrofauna in marine habitats and at any navigable depth, is presented. The new epibenthic sledge operates reliably on soft sediments in shallow and in open oceanic deep water, as well as on steep slopes, between rocks and glacier moraines as frequently found in Antarctic waters, and on primary hard substrate. The construction is of high mechanical stability with fully protected nets. In case of damage, parts of the sledge can be replaced or repaired easily on board. A description of the gear with a detailed construction plan, as well as parameters for handling in diverse marine habitats, is given. Calculation of the towing distance and first results with possible sources of errors are discussed.</t>
  </si>
  <si>
    <t>Ruhr Univ Bochum, Dept Anim Morphol &amp; Systemat, D-4630 Bochum, Germany</t>
  </si>
  <si>
    <t>Ruhr University Bochum</t>
  </si>
  <si>
    <t>Brenke, N (corresponding author), Ruhr Univ Bochum, Dept Anim Morphol &amp; Systemat, D-4630 Bochum, Germany.</t>
  </si>
  <si>
    <t>MARINE TECHNOLOGY SOC INC</t>
  </si>
  <si>
    <t>COLUMBIA</t>
  </si>
  <si>
    <t>5565 STERRETT PLACE, STE 108, COLUMBIA, MD 21044 USA</t>
  </si>
  <si>
    <t>0025-3324</t>
  </si>
  <si>
    <t>MAR TECHNOL SOC J</t>
  </si>
  <si>
    <t>Mar. Technol. Soc. J.</t>
  </si>
  <si>
    <t>10.4031/002533205787444015</t>
  </si>
  <si>
    <t>Engineering, Ocean; Oceanography</t>
  </si>
  <si>
    <t>Engineering; Oceanography</t>
  </si>
  <si>
    <t>952WB</t>
  </si>
  <si>
    <t>WOS:000231035300002</t>
  </si>
  <si>
    <t>Marty, B; Robert, P; Zimmermann, L</t>
  </si>
  <si>
    <t>Nitrogen and noble gases in micrometeorites</t>
  </si>
  <si>
    <t>METEORITICS &amp; PLANETARY SCIENCE</t>
  </si>
  <si>
    <t>INTERPLANETARY DUST PARTICLES; ANTARCTIC MICROMETEORITES; ISOTOPIC COMPOSITIONS; ATMOSPHERIC ENTRY; ACCRETION RATE; SOLAR-WIND; EXTRATERRESTRIAL MATTER; ANOMALOUS NITROGEN; COSMIC SPHERULES; CARBON</t>
  </si>
  <si>
    <t>Micro meteorites (MMs) currently represent the largest steady-state mass flux of extraterrestrial matter to Earth and may have delivered a significant fraction of volatile elements and organics to the Earth's surface. Nitrogen and noble gases contents and isotopic ratios have been measured in a suite of 17 micrometeorites recovered in Antarctica (sampled in blue ice at Cap Prudhomme) and Greenland (separated from cryoconite) that have experienced variable thermal metamorphism during atmospheric entry. MMs were pyrolized using a CO2 laser and the released gases were analyzed for nitrogen and noble gas abundances and isotopic ratios by static mass spectrometry after specific purification. Noble gases are a mixture of cosmogenic, solar, atmospheric, and possibly chondritic components, with atmospheric being predominant in severely heated MMs. delta N-15 values vary between -240 +/- 62 parts per thousand and +206 +/- 12 parts per thousand, with most values being within the range of terrestrial and chondritic signatures, given the uncertainties. Crystalline MMs present very high noble gas contents up to two orders of magnitude higher than carbonaceous chondrite concentrations. In contrast, nitrogen contents between 4 ppm and 165 ppm are much lower than those of carbonaceous chondrites, evidencing either initially low N content in MMs and/or degradation of phases hosting nitrogen during atmospheric entry heating and terrestrial weathering. Assuming that the original N content of MMs was comparable to that of carbonaceous chondrites, the contribution of nitrogen delivery by these objects to the terrestrial environment would have been probably marginal from 3.8 Gyr ago to present but could have been significant (similar to 10%) in the Hadean, and even predominant during the latest stages of terrestrial accretion.</t>
  </si>
  <si>
    <t>Ctr Rech Petrog &amp; Geochim, F-54501 Vandoeuvre Les Nancy, France; Ecole Natl Super Geol, F-54501 Vandoeuvre Les Nancy, France</t>
  </si>
  <si>
    <t>Universite de Lorraine; Universite de Lorraine</t>
  </si>
  <si>
    <t>Ctr Rech Petrog &amp; Geochim, Rue Notre Dame Pauvres,BP 20, F-54501 Vandoeuvre Les Nancy, France.</t>
  </si>
  <si>
    <t>bmarty@crpg.cnrs-nancy.fr</t>
  </si>
  <si>
    <t>1086-9379</t>
  </si>
  <si>
    <t>1945-5100</t>
  </si>
  <si>
    <t>METEORIT PLANET SCI</t>
  </si>
  <si>
    <t>Meteorit. Planet. Sci.</t>
  </si>
  <si>
    <t>10.1111/j.1945-5100.2005.tb00161.x</t>
  </si>
  <si>
    <t>963OF</t>
  </si>
  <si>
    <t>WOS:000231812900007</t>
  </si>
  <si>
    <t>Gounelle, M; Engrand, C; Maurette, M; Kurat, G; McKeegan, KD; Brandstätter, F</t>
  </si>
  <si>
    <t>Small Antarctic micrometeorites:: A mineralogical and in situ oxygen isotope study</t>
  </si>
  <si>
    <t>INTERPLANETARY DUST PARTICLES; MOLECULAR-CLOUD MATERIAL; IRON-NICKEL SULFIDES; COSMIC SPHERULES; CARBONACEOUS CHONDRITES; ATMOSPHERIC ENTRY; ACCRETION RATE; BLUE ICE; COLLECTION; METEORITES</t>
  </si>
  <si>
    <t>We have investigated the texture, bulk chemistry, mineralogy, as well as the anhydrous minerals oxygen isotopic composition of 67 small Antarctic micrometeorites (AMMs) collected at Cap Prudhomme, Antarctica, and belonging to the currently poorly studied size fraction 25-50 mu m. When compared to larger (50-400 mu m) micrometeorites collected at the same site in Antarctica with the same techniques, no significant differences are found between the two populations. We therefore conclude that the population of Cap Prudhomme AMMs is homogeneous over the size range 25400 mu m. In contrast, small AMMs have different textures, mineralogy, and oxygen isotopic compositions than those of stratospheric interplanetary dust particles (IDPs). Because small AMMs (&lt; 50 mu m) overlap in size with IDPs, the differences between these two important sources of micrometeorites can no longer be attributed to a variation of the micrometeorite composition with size. Physical biases introduced by the collection procedures might account for these differences.</t>
  </si>
  <si>
    <t>CSNSM, F-91405 Orsay, France; Univ Paris 11, F-91405 Orsay, France; Nat Hist Museum, Dept Mineral, London SW7 5BD, England; Nat Hist Museum, Mineral Petrog Abt, A-1014 Vienna, Austria; Univ Calif Los Angeles, Dept Earth &amp; Space Sci, Los Angeles, CA 90095 USA</t>
  </si>
  <si>
    <t>Universite Paris Saclay; Universite Paris Saclay; Natural History Museum London; University of California System; University of California Los Angeles</t>
  </si>
  <si>
    <t>CSNSM, Batiment 104, F-91405 Orsay, France.</t>
  </si>
  <si>
    <t>gounelle@csnsm.in2p3.fr</t>
  </si>
  <si>
    <t>McKeegan, Kevin/A-4107-2008</t>
  </si>
  <si>
    <t>McKeegan, Kevin/0000-0002-1827-729X</t>
  </si>
  <si>
    <t>10.1111/j.1945-5100.2005.tb00163.x</t>
  </si>
  <si>
    <t>WOS:000231812900009</t>
  </si>
  <si>
    <t>Bradford-Grieve, JM</t>
  </si>
  <si>
    <t>New species of benthopelagic copepod Xantharus (Calanoida: Scolecitrichidae) from the upper slope, eastern central New Zealand</t>
  </si>
  <si>
    <t>NEW ZEALAND JOURNAL OF MARINE AND FRESHWATER RESEARCH</t>
  </si>
  <si>
    <t>Copepoda; Calanoida; benthopelagic; Scolecitrichidae; new species; Xantharus cryeri n. sp.; New Zealand</t>
  </si>
  <si>
    <t>SP-N COPEPODA; ANTARCTIC OCEAN; GENUS; XANTHOCALANUS</t>
  </si>
  <si>
    <t>Xantharus Andronov, 1981 is reported, for the first time from New Zealand, from the upper slope (306 m) off the southeastern coast of North Island (41 degrees 04. 10'S, 176 degrees 22.05'E). Xantharus cryeri n. sp. females differ from the three known species by a combination of characters: antermules that extend to the distal border of pedigerous somite 2; ancestral segment XVIII of the antermule with 1 seta; mandible basis with 3 setae; maxilla endite 1 with 5 setae; leg 1 basis with inner distal border lined with small spinules; and leg 5 is squat, with all segments as long as wide and the 2 terminal spine-like extensions of the terminal segment approximately as long as the articulated, inner, subterminal spine.</t>
  </si>
  <si>
    <t>Natl Inst Water &amp; Atmospher Res Ltd, Wellington, New Zealand</t>
  </si>
  <si>
    <t>National Institute of Water &amp; Atmospheric Research (NIWA) - New Zealand</t>
  </si>
  <si>
    <t>Bradford-Grieve, JM (corresponding author), Natl Inst Water &amp; Atmospher Res Ltd, Private Bag 14901, Wellington, New Zealand.</t>
  </si>
  <si>
    <t>j.grieve@niwa.co.nz</t>
  </si>
  <si>
    <t>Bradford-Grieve, Janet/0000-0002-3580-1217</t>
  </si>
  <si>
    <t>0028-8330</t>
  </si>
  <si>
    <t>1175-8805</t>
  </si>
  <si>
    <t>NEW ZEAL J MAR FRESH</t>
  </si>
  <si>
    <t>N. Z. J. Mar. Freshw. Res.</t>
  </si>
  <si>
    <t>10.1080/00288330.2005.9517364</t>
  </si>
  <si>
    <t>948EH</t>
  </si>
  <si>
    <t>WOS:000230698300012</t>
  </si>
  <si>
    <t>Woschnagg, K; Ackermann, A; Ahrens, J; Albrecht, H; Atlee, DW; Bai, X; Bay, R; Bartelt, M; Barwick, SW; Becka, T; Becker, KH; Becker, JK; Bernardini, E; Bertrand, D; Boersma, DJ; Böser, S; Botner, O; Bouchta, A; Bouhali, O; Braun, J; Burgess, C; Burgess, T; Castermans, T; Chirkin, D; Coarasa, JA; Collin, B; Conrad, J; Cooley, J; Cowen, DF; Davour, A; De Clercq, C; DeYoung, T; Desiati, P; Ekström, P; Feser, T; Gaisser, TK; Ganugapati, R; Geenen, H; Gerhardt, L; Goldschmidt, A; Gross, A; Hallgren, A; Halzen, F; Hanson, K; Hardtke, D; Hardtke, R; Harenberg, T; Hauschildt, T; Helbing, K; Hellwig, M; Herquet, P; Hill, GC; Hodges, J; Hubert, D; Hughey, B; Hulth, PO; Hultqvist, K; Hundertmark, S; Jacobsen, J; Kampert, KH; Karle, A; Kelley, J; Kestel, M; Köpke, L; Kowalski, M; Krasberg, M; Kuehn, K; Leich, H; Leuthold, M; Lundberg, J; Madsen, J; Mandli, K; Marciniewski, P; Matis, HS; McParland, CP; Messarius, T; Minaeva, Y; Miocinovic, P; Morse, R; Münich, K; Nahnhauer, R; Nam, JW; Neunhöffer, T; Niessen, P; Nygren, DR; Ögelman, H; Olbrechts, P; de los Heros, CP; Pohl, AC; Porrata, R; Price, PB; Przybylski, GT; Rawlins, K; Resconi, E; Rhode, W; Ribordy, M; Richter, S; Martino, JR; Sander, HG; Schinarakis, K; Schlenstedt, S; Schneider, D; Schwarz, R; Seo, SH; Silvestri, A; Solarz, A; Spiczak, GM; Spiering, C; Stamatikos, M; Steele, D; Steffen, P; Stokstad, RG; Sulanke, KH; Taboada, I; Tarasova, O; Thollander, L; Tilav, S; Vandenbroucke, J; Voicu, LC; Wagner, W; Walck, C; Walter, M; Wang, YR; Wiebusch, CH; Wischnewski, R; Wissing, H; Woschnagg, K; Yodh, G</t>
  </si>
  <si>
    <t>New results from the Antarctic Muon And Neutrino Detector Array</t>
  </si>
  <si>
    <t>NUCLEAR PHYSICS B-PROCEEDINGS SUPPLEMENTS</t>
  </si>
  <si>
    <t>HIGH-ENERGY NEUTRINOS; ICE CORE; SELECTION; SPECTRA</t>
  </si>
  <si>
    <t>We present recent results from the Antarctic Muon And Neutrino Detector Array (AMANDA) on searches for high-energy neutrinos of extraterrestrial origin. We have searched for a diffuse flux of neutrinos, neutrino point sources and neutrinos from GRBs and from WIMP annihilations in the Sun or the center of the Earth. We also present a preliminary result on the first energy spectrum above a few TeV for atmospheric neutrinos.</t>
  </si>
  <si>
    <t>DESY Zeuthen, D-15735 Zeuthen, Germany; Johannes Gutenberg Univ Mainz, Dept Phys, D-55099 Mainz, Germany; Penn State Univ, Dept Phys, University Pk, PA 16802 USA; Univ Delaware, Bartol Res Inst, Newark, DE 19716 USA; Univ Calif Berkeley, Dept Phys, Berkeley, CA 94720 USA; Berg Univ Wuppertal, Dept Phys, D-42097 Wuppertal, Germany; Univ Calif Irvine, Dept Phys &amp; Astron, Irvine, CA 92697 USA; Free Univ Brussels, Fac Sci, B-1050 Brussels, Belgium; Uppsala Univ, Div High Energy Phys, S-75121 Uppsala, Sweden; Univ Wisconsin, Dept Phys, Madison, WI 53706 USA; Univ Stockholm, Dept Phys, S-10691 Stockholm, Sweden; Univ Mons, B-7000 Mons, Belgium; Univ Calif Berkeley, Lawrence Berkeley Lab, Berkeley, CA 94720 USA; Free Univ Brussels, Dienst ELEM, B-1050 Brussels, Belgium; Univ Maryland, Dept Phys, College Pk, MD 20742 USA; Univ Wisconsin, Dept Phys, River Falls, WI 54022 USA; Kalmar Univ, Dept Technol, S-39182 Kalmar, Sweden; Univ Simon Bolivar, Dept Phys, Caracas 1080, Venezuela</t>
  </si>
  <si>
    <t>Helmholtz Association; Deutsches Elektronen-Synchrotron (DESY); Johannes Gutenberg University of Mainz; Pennsylvania Commonwealth System of Higher Education (PCSHE); Pennsylvania State University; Pennsylvania State University - University Park; University of Delaware; University of California System; University of California Berkeley; University of Wuppertal; University of California System; University of California Irvine; Universite Libre de Bruxelles; Uppsala University; University of Wisconsin System; University of Wisconsin Madison; Stockholm University; University of Mons; University of California System; University of California Berkeley; United States Department of Energy (DOE); Lawrence Berkeley National Laboratory; Universite Libre de Bruxelles; University System of Maryland; University of Maryland College Park; University of Wisconsin System; University of Kalmar; Linnaeus University; Simon Bolivar University</t>
  </si>
  <si>
    <t>DESY Zeuthen, D-15735 Zeuthen, Germany.</t>
  </si>
  <si>
    <t>Naidu, Rajagopal/K-3038-2016; Mandli, Kyle/U-3899-2019; Bouhali, Othmane/JXM-3572-2024; Schinarakis, Konstantinos/GPK-5766-2022; Resconi, Elisa/I-3874-2016; Venkateswararao, Gollakaram/B-5490-2015; Seo, Seon-Hee/M-1189-2019; Hubert, Daan/I-1096-2019; Wiebusch, Christopher H.V./G-6490-2012; Matis, Howard/AAO-2082-2021; Botner, Olga/A-9110-2013; Hundertmark, Stephan/A-6592-2010; DeYoung, Tyce/O-6895-2019; Matis, Howard S/HMV-9747-2023; Seo, Seon Hee/K-9250-2014; Bernardini, Elisa/AAA-4810-2020; Hallgren, Allan/A-8963-2013; Diaz Velez, Juan Carlos/T-2788-2018; Kowalski, Marek/G-5546-2012</t>
  </si>
  <si>
    <t>Mandli, Kyle/0000-0002-8267-5989; Bouhali, Othmane/0000-0001-7139-7322; Schinarakis, Konstantinos/0000-0003-4248-2290; Resconi, Elisa/0000-0003-0705-2770; Venkateswararao, Gollakaram/0000-0002-0327-7764; Seo, Seon-Hee/0000-0002-1496-624X; Hubert, Daan/0000-0002-4365-865X; Wiebusch, Christopher H.V./0000-0002-6418-3008; DeYoung, Tyce/0000-0003-4873-3783; Matis, Howard S/0000-0003-0764-4389; Bernardini, Elisa/0000-0003-3108-1141; Ackermann, Markus/0000-0001-8952-588X; Diaz Velez, Juan Carlos/0000-0002-0087-0693; Kowalski, Marek/0000-0001-8594-8666; Burgess, Thomas/0000-0002-6993-5918; Cooley, Jodi/0000-0001-6761-2042; Rhode, Wolfgang/0000-0003-2636-5000; Kampert, Karl-Heinz/0000-0002-2805-0195; Helbing, Klaus/0000-0003-2072-4172; Atlee, David/0000-0002-7564-4121; Hill, Gary/0000-0001-8881-6802; Bartelt, Matthias/0000-0003-4239-3490; Desiati, Paolo/0000-0001-9768-1858; Perez de los Heros, Carlos/0000-0002-2084-5866</t>
  </si>
  <si>
    <t>0920-5632</t>
  </si>
  <si>
    <t>1873-3832</t>
  </si>
  <si>
    <t>NUCL PHYS B-PROC SUP</t>
  </si>
  <si>
    <t>Nucl. Phys. B-Proc. Suppl.</t>
  </si>
  <si>
    <t>10.1016/j.nuclphysbps.2005.01.127</t>
  </si>
  <si>
    <t>Physics, Particles &amp; Fields</t>
  </si>
  <si>
    <t>920EP</t>
  </si>
  <si>
    <t>WOS:000228672500048</t>
  </si>
  <si>
    <t>Link, JT</t>
  </si>
  <si>
    <t>ANITA Collaboration</t>
  </si>
  <si>
    <t>Listening for UHE neutrinos with the ANITA LDB instrument</t>
  </si>
  <si>
    <t>The Antarctic Impulsive Transient Antenna, ANITA is a balloon-borne array of sensitive antennas that will listen over the Antarctic continent for radio Cherenkov emissions caused by the interaction of ultra high energy neutrino particles due to the Askaryan effect in the Antarctic ice. These GZK neutrinos provide a unique opportunity to probe the ultra-high energy universe as they are not subject to interactions with or scattering off magnetic or radiation fields like the CMB. ANITA has been selected to fly on a NASA long duration balloon currently set for launch in December 2006.</t>
  </si>
  <si>
    <t>Univ Hawaii, Dept Phys &amp; Astron, Manoa, HI 96822 USA</t>
  </si>
  <si>
    <t>University of Hawaii System; University of Hawaii Manoa</t>
  </si>
  <si>
    <t>Link, JT (corresponding author), Univ Hawaii, Dept Phys &amp; Astron, Manoa, HI 96822 USA.</t>
  </si>
  <si>
    <t>10.1016/j.nuclphysbps.2005.01.219</t>
  </si>
  <si>
    <t>WOS:000228672500140</t>
  </si>
  <si>
    <t>Slabber, S; Chown, SL</t>
  </si>
  <si>
    <t>Differential responses of thermal tolerance to acclimation in the sub-Antarctic rove beetle Halmaeusa atriceps</t>
  </si>
  <si>
    <t>PHYSIOLOGICAL ENTOMOLOGY</t>
  </si>
  <si>
    <t>cold hardiness; crystallization temperature; heat tolerance; lethal limits; phenotypic flexibility</t>
  </si>
  <si>
    <t>LARGE-SCALE PATTERNS; DROSOPHILA-MELANOGASTER; TEMPERATURE EXTREMES; COLD-HARDINESS; WATER-BALANCE; MARION ISLAND; PHYSIOLOGICAL PLASTICITY; PRINGLEOPHAGA-MARIONI; CLIMATIC VARIABILITY; FREEZE TOLERANCE</t>
  </si>
  <si>
    <t>Investigations of the responses to acclimation of upper and lower lethal limits and limits to activity in insects have focused primarily on Drosophila. In the present study, Halmaeusa atriceps (Staphylinidae) is examined for thermal tolerance responses to acclimation, and seasonal acclimatization. In summer and winter, lower lethal temperatures of adults and larvae are approximately -7.6 +/- 0.03 and -11.1 +/- 0.06 degrees C, respectively. Supercooling points (SCPs) are more variable, with winter SCPs of -5.4 +/- 0.4 degrees C in larvae and -6.3 +/- 0.8 degrees C in adults. The species appears to be chill susceptible in summer and moderately freeze tolerant in winter, thus showing seasonal acclimatization. Similar changes cannot be induced solely by acclimation to low temperatures in the laboratory. Upper lethal temperatures show a weaker response to acclimation. There are also significant responses to acclimation of critical thermal limits. Critical thermal minima vary between -3.6 +/- 0.2 and -0.6 +/- 0.2 degrees C in larvae, and from -4.1 +/- 0.1 to -0.8 +/- 0.2 degrees C in adults. By contrast, critical thermal maxima vary much less within adults and larvae. These findings are in keeping with the general pattern found in insects, although this species differs in several respects from others found on Marion Island.</t>
  </si>
  <si>
    <t>Univ Stellenbosch, Ctr Invas Biol, SPACE Grp, ZA-7602 Matieland, South Africa</t>
  </si>
  <si>
    <t>Stellenbosch University</t>
  </si>
  <si>
    <t>Univ Stellenbosch, Ctr Invas Biol, SPACE Grp, Private Bag X1, ZA-7602 Matieland, South Africa.</t>
  </si>
  <si>
    <t>slchown@sun.ac.za</t>
  </si>
  <si>
    <t>Chown, Steven L/H-3347-2011; Chown, Steven/ABD-7646-2021</t>
  </si>
  <si>
    <t>0307-6962</t>
  </si>
  <si>
    <t>1365-3032</t>
  </si>
  <si>
    <t>PHYSIOL ENTOMOL</t>
  </si>
  <si>
    <t>Physiol. Entomol.</t>
  </si>
  <si>
    <t>10.1111/j.1365-3032.2005.00448.x</t>
  </si>
  <si>
    <t>Entomology</t>
  </si>
  <si>
    <t>927GR</t>
  </si>
  <si>
    <t>WOS:000229181000010</t>
  </si>
  <si>
    <t>Gross, L</t>
  </si>
  <si>
    <t>As the Antarctic ice pack recedes, a fragile ecosystem hangs in the balance (vol 3, pg 557 2005)</t>
  </si>
  <si>
    <t>PLOS BIOLOGY</t>
  </si>
  <si>
    <t>PUBLIC LIBRARY SCIENCE</t>
  </si>
  <si>
    <t>SAN FRANCISCO</t>
  </si>
  <si>
    <t>1160 BATTERY STREET, STE 100, SAN FRANCISCO, CA 94111 USA</t>
  </si>
  <si>
    <t>1545-7885</t>
  </si>
  <si>
    <t>PLOS BIOL</t>
  </si>
  <si>
    <t>PLoS. Biol.</t>
  </si>
  <si>
    <t>e224</t>
  </si>
  <si>
    <t>10.1371/journal.pbio.0030224</t>
  </si>
  <si>
    <t>Biochemistry &amp; Molecular Biology; Biology</t>
  </si>
  <si>
    <t>Biochemistry &amp; Molecular Biology; Life Sciences &amp; Biomedicine - Other Topics</t>
  </si>
  <si>
    <t>938IK</t>
  </si>
  <si>
    <t>gold, Green Accepted, Green Published, Green Submitted</t>
  </si>
  <si>
    <t>WOS:000229992900024</t>
  </si>
  <si>
    <t>Olave-Concha, N; Bravo, LA; Ruiz-Lara, S; Corcuera, LJ</t>
  </si>
  <si>
    <t>Differential accumulation of dehydrin-like proteins by abiotic stresses in Deschampsia antarctica Desv.</t>
  </si>
  <si>
    <t>SIGNAL-TRANSDUCTION; WATER-DEFICIT; REVERSIBLE PHOTOINHIBITION; COLOBANTHUS-QUITENSIS; GENE-EXPRESSION; OSMOTIC-STRESS; DROUGHT STRESS; ABSCISIC-ACID; GAS-EXCHANGE; COLD</t>
  </si>
  <si>
    <t>Dehydrins are proteins that accumulate during environmental stresses leading to cell dehydration. Deschampsia antarctica is one of the two vascular plants that have colonized the Maritime Antarctic. This plant is usually exposed to cold, salt and desiccating winds in the field. We proposed that among the factors that allow D. antarctica to survive the harsh environmental conditions is the presence of dehydrins. We studied the accumulation of dehydrins by abscisic acid (ABA), dehydration, NaCl and low osmotic potential. Western blots using an anti-dehydrin antibody revealed a complex pattern of dehydrin-like proteins (DLPs) accumulation in the different treatments. DLPs with apparent molecular weight of 58, 57, 55, 53, 48, 42, 32, 30, 28 and 25 kDa were detected in the different treatments. DLPs accumulation was associated with a decrease in the relative water content (RWC) of the plants. These results suggest that DLPs accumulation could contribute to explain how D. antarctica can survive under adverse Antarctic conditions.</t>
  </si>
  <si>
    <t>Univ Concepcion, Fac Ciencias Nat &amp; Oceanog, Dept Bot, Concepcion, Chile; Univ Talca, Inst Biol Vegetal &amp; Biotecnol, Talca, Chile</t>
  </si>
  <si>
    <t>Universidad de Concepcion; Universidad de Talca</t>
  </si>
  <si>
    <t>Univ Concepcion, Fac Ciencias Nat &amp; Oceanog, Dept Bot, Casilla 160-C, Concepcion, Chile.</t>
  </si>
  <si>
    <t>lcorcuer@udec.cl</t>
  </si>
  <si>
    <t>Bravo, Leon/H-9251-2018; Ruiz-Lara, Simon/Z-5843-2019; Bravo, León/AAO-8437-2020; Corcuera, Luis J/G-1714-2014</t>
  </si>
  <si>
    <t>Bravo, Leon/0000-0003-4705-4842; Ruiz-Lara, Simon/0000-0001-8476-2288; Bravo, León/0000-0003-4705-4842;</t>
  </si>
  <si>
    <t>10.1007/s00300-005-0718-5</t>
  </si>
  <si>
    <t>934TB</t>
  </si>
  <si>
    <t>WOS:000229730200002</t>
  </si>
  <si>
    <t>Pawlowski, J; Fahrni, JF; Guiard, J; Conlan, K; Hardecker, J; Habura, A; Bowser, SS</t>
  </si>
  <si>
    <t>Allogromiid foraminifera and gromiids from under the Ross Ice Shelf: morphological and molecular diversity</t>
  </si>
  <si>
    <t>SP-NOV; MONOTHALAMOUS FORAMINIFERAN; EXPLORERS COVE; WEDDELL SEA; WEST-COAST; ANTARCTICA; ECOLOGY; BIODIVERSITY; PHYLOGENY; SEQUENCES</t>
  </si>
  <si>
    <t>Allogromiid foraminifera and gromiids constitute an important but poorly known component of the meiobenthos in high-latitude marine settings. Here, we present a first report on the diversity of these protists, together with an account of co-occurring invertebrate taxa, in a sample of sea floor sediment from a water depth of 923 m under the Ross Ice Shelf. Light microscopy of sieved sediment yielded 14 allogromiid foraminifera and three Gromia spp. morphotypes. We also obtained 36 partial small subunit rDNA sequences of allogromiids, including 19 sequences of individual isolates and 17 sequences from environmental DNA samples. Phylogenetic analyses of the obtained sequences identified 18 phylotypes, of which seven were closely related to previously sequenced allogromiids, while 11 represented new lineages. Our results demonstrate that a rich meiofaunal assemblage is present under the Ross Ice Shelf, 12 km from the open ocean. Molecular phylogenetic analyses of these allogromiid foraminifera point to the endemic character of the Ross Ice Shelf assemblage; however, more extensive sampling of the molecular diversity of this group of foraminifera in the Antarctic deep sea is necessary to confirm this conclusion.</t>
  </si>
  <si>
    <t>New York State Dept Hlth, Wadsworth Ctr Labs &amp; Res, Lab Cell Regulat, Albany, NY 12201 USA; Univ Geneva, Dept Zool &amp; Anim Biol, CH-1211 Geneva, Switzerland; Canadian Museum Nat, Ottawa, ON K1P 6P4, Canada; SUNY Albany, Dept Biomed Sci, Albany, NY 12222 USA</t>
  </si>
  <si>
    <t>State University of New York (SUNY) System; Wadsworth Center; University of Geneva; State University of New York (SUNY) System; State University of New York (SUNY) Albany</t>
  </si>
  <si>
    <t>New York State Dept Hlth, Wadsworth Ctr Labs &amp; Res, Lab Cell Regulat, POB 509, Albany, NY 12201 USA.</t>
  </si>
  <si>
    <t>bowser@wadsworth.org</t>
  </si>
  <si>
    <t>10.1007/s00300-005-0717-6</t>
  </si>
  <si>
    <t>WOS:000229730200003</t>
  </si>
  <si>
    <t>Heilmayer, O; Honnen, C; Jacob, U; Chiantore, M; Cattaneo-Vietti, R; Brey, T</t>
  </si>
  <si>
    <t>Temperature effects on summer growth rates in the Antarctic scallop, Adamussium colbecki</t>
  </si>
  <si>
    <t>Adamussium colbecki; Antarctic scallop; growth; growth rate; temperature</t>
  </si>
  <si>
    <t>BIVALVE YOLDIA-EIGHTSI; SIGNY ISLAND; SEA; SEASONALITY; DIFFERENTIATION; REPRODUCTION; JUVENILE; CALCEIN; MARKER; BAY</t>
  </si>
  <si>
    <t>Annual growth rates of Antarctic marine organisms are low compared to their relatives from warmer waters. Previous studies hypothesise that high food availability during austral spring-summer may enable Antarctic invertebrates to attain comparatively high short-term growth rates despite the low temperature. Neither a temperature-growth experiment with juvenile Adamussium colbecki (Smith 1902) nor the comparison of A. colbecki summer growth rates with an empirical scallop specific growth-to-temperature relationship could confirm this hypothesis. Hence, summer growth rates of young, immature A. colbecki are strongly affected by temperature, i.e. no uncoupling from temperature.</t>
  </si>
  <si>
    <t>Florida Atlantic Univ, Dept Biol Sci, Boca Raton, FL 33431 USA; Alfred Wegener Inst Polar &amp; Marine Res, D-27515 Bremerhaven, Germany; Gymnasium Wesermunde, D-27580 Bremerhaven, Germany; Univ Genoa, Dipartimento Studio Terr &amp; Sue Risorse, I-16132 Genoa, Italy</t>
  </si>
  <si>
    <t>State University System of Florida; Florida Atlantic University; Helmholtz Association; Alfred Wegener Institute, Helmholtz Centre for Polar &amp; Marine Research; University of Genoa</t>
  </si>
  <si>
    <t>Florida Atlantic Univ, Dept Biol Sci, 777 Glades Rd,SC 214, Boca Raton, FL 33431 USA.</t>
  </si>
  <si>
    <t>oheilmay@fau.edu</t>
  </si>
  <si>
    <t>Jacob, Ute/F-8179-2011; Chiantore, Mariachiara/C-7070-2017</t>
  </si>
  <si>
    <t>Chiantore, Mariachiara/0000-0002-5862-1470; Brey, Thomas/0000-0002-6345-2851; Heilmayer, Olaf/0000-0003-1849-1381</t>
  </si>
  <si>
    <t>10.1007/s00300-005-0716-7</t>
  </si>
  <si>
    <t>WOS:000229730200004</t>
  </si>
  <si>
    <t>Hughes, KA; Walsh, S; Convey, P; Richards, S; Bergstrom, DM</t>
  </si>
  <si>
    <t>Alien fly populations established at two Antarctic research stations</t>
  </si>
  <si>
    <t>SCIARIDAE; BRADYSIA; DIPTERA; TRANSMISSION</t>
  </si>
  <si>
    <t>The populations of two non-native Dipterans have been established at two Antarctic research stations since at least 1998. Both belong to Sciaridae (black fungus midge), and have been determined to the genus Lycoriella. At Rothera Research Station, Antarctic Peninsula, flies are present in the station alcohol bond store, while at Casey Station, on the coast of continental Antarctica, a second Lycoriella sp. is found breeding in the station sewage facilities. Neither species is thought capable of surviving outside the protected environment of the research station buildings, but their establishment highlights the need for strict quarantine controls in order for National Operators in the Antarctic to conform to the Environmental Protocol of the Antarctic Treaty and prevent the introduction of alien species into Antarctica. Protocols for fly eradication are currently being implemented.</t>
  </si>
  <si>
    <t>British Antarctic Survey, NERC, Cambridge CB3 0ET, England; Australian Antarctic Div, Kingston, Tas 7050, Australia; Univ New England, Natl Marine Sci Ctr, Sch Environm Sci &amp; Nat Resources Management, Coffs Harbour, NSW 2450, Australia</t>
  </si>
  <si>
    <t>UK Research &amp; Innovation (UKRI); Natural Environment Research Council (NERC); NERC British Antarctic Survey; Australian Antarctic Division; University of New England; Southern Cross University</t>
  </si>
  <si>
    <t>Hughes, KA (corresponding author), British Antarctic Survey, NERC, High Cross,Madingley Rd, Cambridge CB3 0ET, England.</t>
  </si>
  <si>
    <t>k.hughes@bas.ac.uk</t>
  </si>
  <si>
    <t>Convey, Peter/AAV-5728-2020; Bergstrom, Dana/AAC-2837-2022; Hughes, Kevin/JVZ-0793-2024</t>
  </si>
  <si>
    <t>Convey, Peter/0000-0001-8497-9903; Bergstrom, Dana/0000-0001-8484-8954;</t>
  </si>
  <si>
    <t>10.1007/s00300-005-0720-y</t>
  </si>
  <si>
    <t>WOS:000229730200009</t>
  </si>
  <si>
    <t>de Bruyn, PJN; Cooper, J</t>
  </si>
  <si>
    <t>Who's the boss? Giant petrel arrival times and interspecific interactions at a seal carcass at sub-Antarctic Marion Island</t>
  </si>
  <si>
    <t>MACRONECTES-HALLI; SOUTH GEORGIA; GIGANTEUS</t>
  </si>
  <si>
    <t>Most northern giant petrels Macronectes halli arrived before southern giant petrels Macronectes giganteus at a seal carcass at sub-Antarctic Marion Island and left earlier. In interspecific interactions, southern giant petrels initiated and dominated encounters. Level of aggression may be related to the degree of satiation. Dominance by southern giant petrels at seal carcasses may help explain why northern giant petrels commence breeding earlier than southern giant petrels in sympatric situations.</t>
  </si>
  <si>
    <t>Univ Pretoria, Dept Zool &amp; Entomol, Mammal Res Inst, ZA-0002 Pretoria, South Africa; Univ Cape Town, Dept Stat Sci, Avian Demog Unit, ZA-7701 Rondebosch, South Africa</t>
  </si>
  <si>
    <t>University of Pretoria; University of Cape Town</t>
  </si>
  <si>
    <t>de Bruyn, PJN (corresponding author), Univ Pretoria, Dept Zool &amp; Entomol, Mammal Res Inst, ZA-0002 Pretoria, South Africa.</t>
  </si>
  <si>
    <t>pjndebruyn@zoology.up.ac.za</t>
  </si>
  <si>
    <t>de Bruyn, P. J. Nico/E-4176-2010</t>
  </si>
  <si>
    <t>de Bruyn, P. J. Nico/0000-0002-9114-9569</t>
  </si>
  <si>
    <t>10.1007/s00300-005-0724-7</t>
  </si>
  <si>
    <t>WOS:000229730200010</t>
  </si>
  <si>
    <t>Vasileva-Tonkova, E; Gesheva, V</t>
  </si>
  <si>
    <t>Glycolipids produced by Antarctic Nocardioides sp during growth on n-paraffin</t>
  </si>
  <si>
    <t>PROCESS BIOCHEMISTRY</t>
  </si>
  <si>
    <t>glycolipids; rhamnolipids; n-paraffin; Nocardioides sp.; Antarctica</t>
  </si>
  <si>
    <t>PSEUDOMONAS-AERUGINOSA; MICROBIAL SURFACTANTS; SP NOV.; HYDROCARBONS; SOIL; BACTERIUM; BIOSURFACTANT; BIODEGRADATION; HYDROPHOBICITY; IDENTIFICATION</t>
  </si>
  <si>
    <t>An actinomycete isolated from Antarctic soil (Dewart Island) and identified as Nocardioides sp. A-8 grown on n-paraffin as a carbon source produced biosurfactants. Hemolysis of erythrocytes, growth inhibition of Bacillus subtilis and thin-layer chromatography studies revealed that the secreted biosurfactants are rhamnolipids. They lowered the surface tension of the medium below 35 mN/m and efficiently emulsified aromatic hydrocarbons and n-paraffin. The results showed that the Antarctic Nocardioides sp. A-8 and its produced glycolipids with effective surface and emulsifying properties represent a promising potential for application in bioremediation of soil environments polluted with hydrocarbons. (c) 2004 Elsevier Ltd. All rights reserved.</t>
  </si>
  <si>
    <t>Bulgarian Acad Sci, Inst Microbiol, BU-1113 Sofia, Bulgaria</t>
  </si>
  <si>
    <t>Bulgarian Academy of Sciences; Medical University Sofia</t>
  </si>
  <si>
    <t>Bulgarian Acad Sci, Inst Microbiol, Acad G Bonchev Str,Bl 26, BU-1113 Sofia, Bulgaria.</t>
  </si>
  <si>
    <t>evaston@yahoo.com</t>
  </si>
  <si>
    <t>ELSEVIER SCI LTD</t>
  </si>
  <si>
    <t>THE BOULEVARD, LANGFORD LANE, KIDLINGTON, OXFORD OX5 1GB, OXON, ENGLAND</t>
  </si>
  <si>
    <t>1359-5113</t>
  </si>
  <si>
    <t>1873-3298</t>
  </si>
  <si>
    <t>PROCESS BIOCHEM</t>
  </si>
  <si>
    <t>Process Biochem.</t>
  </si>
  <si>
    <t>10.1016/j.procbio.2004.09.018</t>
  </si>
  <si>
    <t>Biochemistry &amp; Molecular Biology; Biotechnology &amp; Applied Microbiology; Engineering, Chemical</t>
  </si>
  <si>
    <t>Biochemistry &amp; Molecular Biology; Biotechnology &amp; Applied Microbiology; Engineering</t>
  </si>
  <si>
    <t>914IT</t>
  </si>
  <si>
    <t>WOS:000228221800016</t>
  </si>
  <si>
    <t>Siegert, MJ</t>
  </si>
  <si>
    <t>Reviewing the origin of subglactial Lake Vostok and its sensitivity to ice sheet changes</t>
  </si>
  <si>
    <t>PROGRESS IN PHYSICAL GEOGRAPHY</t>
  </si>
  <si>
    <t>Antarctica; Cenozoic; ice sheet; subglacial lakes</t>
  </si>
  <si>
    <t>CENTRAL EAST ANTARCTICA; NUMERICAL-MODEL; ACCRETED ICE; GLACIATION; BENEATH; FLOW</t>
  </si>
  <si>
    <t>The history of Lake Vostok, the huge East Antarctic subglacial lake, is critical to the unique biota expected in this extreme environment. One theory is that the lake existed prior to the mid-Miocene glaciation of the continent at around 15 million years ago, survived the subsequent period of ice growth intact, and then remained relatively stable beneath its thick ice cover to the present day. The alternative is that the lake was formed by subglacial water flow into an existing and/or glacially eroded trough after the ice sheet reached its present configuration. Here, the onset of persistent ice cover in Antarctica is reviewed and a simple model for continental ice growth discussed. This information is used to argue against the preglacial origin of subglacial lakes. Lake Vostok is large because ice flows essentially perpendicular to the trough's long axis, permitting the slopes of the ice surface and the ice-water interface to be low. During the onset of glaciation ice flow across Lake Vostok would have been more akin to flow across an ice marginal trough such as the Astrolabe Subglacial Basin, which holds the thickest ice in Antarctica: 4776 m where the bed is over 2 km below the sea level. Hence, regardless of whether Lake Vostok was a lake prior to glaciation, its trough is likely to have been occupied by grounded ice during the period of ice growth. Although the lake is stable today, its size and extent will be affected by ice sheet changes that occur over glacial-interglacial cycles. Such changes are reviewed and the potential consequences for the lake's volume are discussed.</t>
  </si>
  <si>
    <t>Univ Bristol, Sch Geog Sci, Bristol Glaciol Ctr, Bristol BS8 1SS, Avon, England</t>
  </si>
  <si>
    <t>University of Bristol</t>
  </si>
  <si>
    <t>Univ Bristol, Sch Geog Sci, Bristol Glaciol Ctr, Bristol BS8 1SS, Avon, England.</t>
  </si>
  <si>
    <t>Siegert, Martin/M-9939-2019; Siegert, Martin J/A-3826-2008</t>
  </si>
  <si>
    <t>Siegert, Martin/0000-0002-0090-4806; Siegert, Martin J/0000-0002-0090-4806</t>
  </si>
  <si>
    <t>SAGE PUBLICATIONS LTD</t>
  </si>
  <si>
    <t>1 OLIVERS YARD, 55 CITY ROAD, LONDON EC1Y 1SP, ENGLAND</t>
  </si>
  <si>
    <t>0309-1333</t>
  </si>
  <si>
    <t>1477-0296</t>
  </si>
  <si>
    <t>PROG PHYS GEOG</t>
  </si>
  <si>
    <t>Prog. Phys. Geogr.</t>
  </si>
  <si>
    <t>10.1191/0309133305pp441ra</t>
  </si>
  <si>
    <t>931HN</t>
  </si>
  <si>
    <t>WOS:000229476500002</t>
  </si>
  <si>
    <t>Nogi, Y; Soda, K; Oikawa, T</t>
  </si>
  <si>
    <t>Flavobacterium frigidimaris sp nov., isolated from Antarctic seawater</t>
  </si>
  <si>
    <t>SYSTEMATIC AND APPLIED MICROBIOLOGY</t>
  </si>
  <si>
    <t>flavobacterium; F. frigidimaris; Antarctic seawater; psychrotolerant</t>
  </si>
  <si>
    <t>CYTOPHAGA SP KUC-1; PSYCHROPHILIC BACTERIUM; NUCLEOTIDE-SEQUENCE; DEHYDROGENASE; SYSTEMATICS; ENZYMES</t>
  </si>
  <si>
    <t>We described the polyphasic characterization of the psychrotolerant isolated from Antarctic seawater. The strain was closely related to Flarobacterium hydatis, F. pectinororum, and F. saccharophilum on the basis of the 16S rDNA sequence analysis. However, DNA-DNA hybridization experiments showed that the DNA-similarities between strain KUC-1(T) and the reference strains of Flavobacterium were less than 30%. Therefore, we can definite a new species of Flavobacterium phylogenetically, and strain KUC-1(T) can be considered to be a new species of Flavobacterium. i.e. F. frigidimaris (KUC-1(T): JCM 12218(T) and DSM 15937(T): mol% G + C or DNA or the type strain is 34.5 mol%), Useful phenotypical features for discrimination of F. frigidimaris from other Flavobacterium species, such as a resistance to NaCl, optimum growth temperature. and cellular fatty acid composition, were also determined. (c) 2005 Elsevier GmbH. All rights reserved.</t>
  </si>
  <si>
    <t>Kansai Univ, Fac Engn, Dept Biotechnol, Suita, Osaka 5648680, Japan; Japan Agcy Marine Earth Sci &amp; Technol, Extremobiosphere Res Ctr, Systemat Microbiol Res Grp, Yokosuka, Kanagawa 2370061, Japan; Kansai Univ, High Technol Res Ctr, Suita, Osaka 5648680, Japan</t>
  </si>
  <si>
    <t>Kansai University; Japan Agency for Marine-Earth Science &amp; Technology (JAMSTEC); Kansai University</t>
  </si>
  <si>
    <t>Kansai Univ, Fac Engn, Dept Biotechnol, 3-3-35 Yamatecho, Suita, Osaka 5648680, Japan.</t>
  </si>
  <si>
    <t>oikawa@ipcku.kansai-u.ac.jp</t>
  </si>
  <si>
    <t>Nogi, Yuichi/D-8865-2013</t>
  </si>
  <si>
    <t>Nogi, Yuichi/0000-0002-6593-7772</t>
  </si>
  <si>
    <t>ELSEVIER GMBH, URBAN &amp; FISCHER VERLAG</t>
  </si>
  <si>
    <t>JENA</t>
  </si>
  <si>
    <t>OFFICE JENA, P O BOX 100537, 07705 JENA, GERMANY</t>
  </si>
  <si>
    <t>0723-2020</t>
  </si>
  <si>
    <t>SYST APPL MICROBIOL</t>
  </si>
  <si>
    <t>Syst. Appl. Microbiol.</t>
  </si>
  <si>
    <t>10.1016/j.syapm.2005.01.001</t>
  </si>
  <si>
    <t>Biotechnology &amp; Applied Microbiology; Microbiology</t>
  </si>
  <si>
    <t>943IH</t>
  </si>
  <si>
    <t>WOS:000230346200004</t>
  </si>
  <si>
    <t>Motta, CM; Capriglione, T; Frezza, V; Simoniello, P; Tammaro, S; Filosa, S</t>
  </si>
  <si>
    <t>Oogenesis at subzero temperatures: A comparative study of the oocyte morphology in nine species of Notothenioids</t>
  </si>
  <si>
    <t>TISSUE &amp; CELL</t>
  </si>
  <si>
    <t>Antarctic teleosts; ovarian follicles; round bodies; cortical alveoli</t>
  </si>
  <si>
    <t>CORTICAL ALVEOLI; ROSS SEA; EVOLUTION; FISHES; MITOCHONDRIAL; LOCALIZATION; ADAPTATIONS; HEMOGLOBINS; SIZE</t>
  </si>
  <si>
    <t>Oogenesis was examined in nine species of Antarctic fish to verify the existence of morphological peculiarities. The analyses were carried out on specimens belonging to three different families of Notothenioids (Nototheniidae, Channichthyidae and Bathydraconidae), all captured in the Ross Sea, in front of the Italian Station of Terra Nova Bay. Following dissection, the ovaries were processed and examined at the light and electron microscopes to determine the oocyte gross and fine morphology. The attention, in particular, was focused on the presence of cytoplasmic round bodies and on the organization of the cortical alveoli and the vitelline envelope. Results reveal significant specie-specific differences that could be partly correlated to the phylogenetic radiation but not to the peculiar environmental conditions being essentially comparable to those observed among temperate species. (c) 2005 Elsevier Ltd. All rights reserved.</t>
  </si>
  <si>
    <t>Univ Naples Federico II, Dipartimento Sci Biol, I-80134 Naples, Italy</t>
  </si>
  <si>
    <t>University of Naples Federico II</t>
  </si>
  <si>
    <t>Univ Naples Federico II, Dipartimento Sci Biol, Via Mezzocannone 8, I-80134 Naples, Italy.</t>
  </si>
  <si>
    <t>chiaramaria.motta@unina.it</t>
  </si>
  <si>
    <t>maria, Motta chiara/K-1426-2019</t>
  </si>
  <si>
    <t>motta, chiara maria/0000-0003-1035-0664; Simoniello, Palma/0000-0003-2888-2642</t>
  </si>
  <si>
    <t>CHURCHILL LIVINGSTONE</t>
  </si>
  <si>
    <t>EDINBURGH</t>
  </si>
  <si>
    <t>JOURNAL PRODUCTION DEPT, ROBERT STEVENSON HOUSE, 1-3 BAXTERS PLACE, LEITH WALK, EDINBURGH EH1 3AF, MIDLOTHIAN, SCOTLAND</t>
  </si>
  <si>
    <t>0040-8166</t>
  </si>
  <si>
    <t>TISSUE CELL</t>
  </si>
  <si>
    <t>Tissue Cell</t>
  </si>
  <si>
    <t>10.1016/j.tice.2005.02.002</t>
  </si>
  <si>
    <t>Anatomy &amp; Morphology; Cell Biology</t>
  </si>
  <si>
    <t>939AX</t>
  </si>
  <si>
    <t>WOS:000230045600007</t>
  </si>
  <si>
    <t>Hughes, KA</t>
  </si>
  <si>
    <t>Effect of Antarctic solar radiation on sewage bacteria viability</t>
  </si>
  <si>
    <t>WATER RESEARCH</t>
  </si>
  <si>
    <t>Antarctica; ozone depletion; sewage; pollution; Escherichia coli; ultraviolet radiation</t>
  </si>
  <si>
    <t>ESCHERICHIA-COLI; ENTERIC BACTERIA; FECAL-COLIFORMS; MCMURDO-STATION; SURVIVAL; SUNLIGHT; SEA</t>
  </si>
  <si>
    <t>The majority of coastal Antarctic research stations discard untreated sewage waste into the near-shore marine environment. However, Antarctic solar conditions are unique, with ozone depletion increasing the proportion of potentially damaging ultraviolet-B (UV-B) radiation reaching the marine environment. This study assessed the influence of Antarctic solar radiation on the viability of Escherichia coli and sewage microorganisms at Rothera, Research Station, Adelaide Island, Antarctic Peninsula. Cell viability decreased with increased exposure time and with exposure to shorter wavelengths of solar radiation. Cell survival also declined with decreasing cloud cover, solar zenith angle and ozone column depth. However, particulates in sewage increased the persistence of viable bacteria. Ultraviolet radiation doses over Rothera Point were highest during the austral summer. During this time, solar radiation may act to partially reduce the number of viable sewage-derived microorganisms in the surface seawater around Antarctic outfalls. Nevertheless, this effect is not reliable and every effort should be made to fully treat sewage before release into the Antarctic marine environment. (c) 2005 Elsevier Ltd. All rights reserved.</t>
  </si>
  <si>
    <t>Hughes, Kevin/JVZ-0793-2024</t>
  </si>
  <si>
    <t>0043-1354</t>
  </si>
  <si>
    <t>WATER RES</t>
  </si>
  <si>
    <t>Water Res.</t>
  </si>
  <si>
    <t>10.1016/j.watres.2005.04.011</t>
  </si>
  <si>
    <t>Engineering, Environmental; Environmental Sciences; Water Resources</t>
  </si>
  <si>
    <t>Engineering; Environmental Sciences &amp; Ecology; Water Resources</t>
  </si>
  <si>
    <t>946RV</t>
  </si>
  <si>
    <t>WOS:000230590800004</t>
  </si>
  <si>
    <t>Harinath, K; Malhotra, AS; Pal, K; Prasad, R; Kumar, R; Sawhney, RC</t>
  </si>
  <si>
    <t>Autonomic nervous system and adrenal response to cold in man at Antarctica</t>
  </si>
  <si>
    <t>WILDERNESS &amp; ENVIRONMENTAL MEDICINE</t>
  </si>
  <si>
    <t>heart rate variability; Antarctica; epinephrine; norepinephrine; cortisol</t>
  </si>
  <si>
    <t>METABOLIC-RESPONSES; TROPICAL MEN; ACCLIMATIZATION; CATECHOLAMINES; STRESS; STAY</t>
  </si>
  <si>
    <t>Objective.-To evaluate the role of the autonomic nervous system and adrenal system in acclimatization to cold in tropical men during short or prolonged sojourns at Antarctica. Methods.-The study was carried Out on volunteers of the 18th winter over team (WOT) and 19th summer team (ST) of an Indian Antarctic Expedition. The ST members were evaluated at Delhi; during voyage; and on days 7, 30, and 60 of their stay at Antarctica. Identical studies were performed in WOT members who had stayed at Antarctica for 14 months. The parameters examined included heart rate, blood pressure, oral temperature, index finger skin temperature, heart rate variability, urinary epinephrine and norepinephrine, and salivary cortisol. Results.-The testing heart rate and blood pressure in ST members significantly increased (P &lt; .05) on days 7 and 30 of their stay at Antarctica and returned to baseline Delhi values by day 60. The index finger temperature declined (P &lt; .05) on day 7 at Antarctica and remained at lower levels during the entire period of observations. Heart rate variability showed an imbalance of autonomic nervous system effects with predominance of low-frequency band on day 7 of stay and returned to Delhi values by day 60. The urinary excretion of epinephrine and norepinephrine and salivary cortisol were also increased oil day 7 and declined to baseline Delhi values after 2 months of stay. Compared with the ST group, the WOT group showed a significantly higher (P &lt; .05) resting heart rate, blood pressure, and low-frequency power and urinary excretion of norepinephrine. Conclusions.-These observations suggest that Antarctic residency during austral summer results in gradual attenuation of sympathetic tone and a shift of autonomic balance toward the parasympathetic side. However, WOT members showed a predominance of sympathetic and adrenal activity compared with initial responses of ST members, suggesting deconditioning or possible resetting of the autonomic nervous system.</t>
  </si>
  <si>
    <t>Def Inst Physiol &amp; Allied Sci, Dept Endocrinol &amp; Metab, Delhi 110054, India</t>
  </si>
  <si>
    <t>Defence Research &amp; Development Organisation (DRDO); Defence Institute of Physiology &amp; Allied Sciences (DIPAS)</t>
  </si>
  <si>
    <t>Def Inst Physiol &amp; Allied Sci, Dept Endocrinol &amp; Metab, Lucknow Rd, Delhi 110054, India.</t>
  </si>
  <si>
    <t>em_dipas@yahoo.com</t>
  </si>
  <si>
    <t>ELSEVIER SCIENCE INC</t>
  </si>
  <si>
    <t>STE 800, 230 PARK AVE, NEW YORK, NY 10169 USA</t>
  </si>
  <si>
    <t>1080-6032</t>
  </si>
  <si>
    <t>1545-1534</t>
  </si>
  <si>
    <t>WILD ENVIRON MED</t>
  </si>
  <si>
    <t>Wildern. Environ. Med.</t>
  </si>
  <si>
    <t>10.1580/PR30-04.1</t>
  </si>
  <si>
    <t>Public, Environmental &amp; Occupational Health; Sport Sciences</t>
  </si>
  <si>
    <t>934WA</t>
  </si>
  <si>
    <t>WOS:000229738600004</t>
  </si>
  <si>
    <t>Stenke, A; Grewe, V</t>
  </si>
  <si>
    <t>Simulation of stratospheric water vapor trends: impact on stratospheric ozone chemistry</t>
  </si>
  <si>
    <t>ATMOSPHERIC CHEMISTRY AND PHYSICS</t>
  </si>
  <si>
    <t>INCREASES; METHANE; MODEL; OH; TEMPERATURES; CIRCULATION; SENSITIVITY; TRANSPORT; GCM; NOX</t>
  </si>
  <si>
    <t>A transient model simulation of the 40-year time period 1960 to 1999 with the coupled climate-chemistry model (CCM) ECHAM4. L39(DLR)/CHEM shows a stratospheric water vapor increase over the last two decades of 0.7 ppmv and, additionally, a short-term increase after major volcanic eruptions. Furthermore, a long-term decrease in global total ozone as well as a short-term ozone decline in the tropics after volcanic eruptions are modeled. In order to understand the resulting effects of the water vapor changes on lower stratospheric ozone chemistry, different perturbation simulations were performed with the CCM ECHAM4. L39-(DLR)/CHEM feeding the water vapor perturbations only to the chemistry part. Two different long-term perturbations of lower stratospheric water vapor, +1 ppmv and +5 ppmv, and a short-term perturbation of +2 ppmv with an e-folding time of two months were applied. An additional stratospheric water vapor amount of 1 ppmv results in a 5-10% OH increase in the tropical lower stratosphere between 100 and 30 hPa. As a direct consequence of the OH increase the ozone destruction by the HOx cycle becomes 6.4% more effective. Coupling processes between the HOx-family and the NOx/ClOx-family also affect the ozone destruction by other catalytic reaction cycles. The NOx cycle becomes 1.6% less effective, whereas the effectiveness of the ClOx cycle is again slightly enhanced. A long-term water vapor increase does not only affect gas-phase chemistry, but also heterogeneous ozone chemistry in polar regions. The model results indicate an enhanced heterogeneous ozone depletion during antarctic spring due to a longer PSC existence period. In contrast, PSC formation in the northern hemisphere polar vortex and therefore heterogeneous ozone depletion during arctic spring are not affected by the water vapor increase, because of the less PSC activity. Finally, this study shows that 10% of the global total ozone decline in the transient model run can be explained by the modeled water vapor increase, but the simulated tropical ozone decrease after volcanic eruptions is caused dynamically rather than chemically.</t>
  </si>
  <si>
    <t>Deutsch Zentrum Luft &amp; Raumfahrt DLR, Inst Phys Atmosphare, D-82230 Oberpfaffenhofen, Wessling, Germany</t>
  </si>
  <si>
    <t>Helmholtz Association; German Aerospace Centre (DLR)</t>
  </si>
  <si>
    <t>Deutsch Zentrum Luft &amp; Raumfahrt DLR, Inst Phys Atmosphare, D-82230 Oberpfaffenhofen, Wessling, Germany.</t>
  </si>
  <si>
    <t>andrea.stenke@dlr.de</t>
  </si>
  <si>
    <t>Grewe, Volker/JCE-0830-2023; Grewe, Volker/A-6147-2011; Stenke, Andrea/GYJ-6299-2022</t>
  </si>
  <si>
    <t>Grewe, Volker/0000-0002-8012-6783; Stenke, Andrea/0000-0002-5916-4013</t>
  </si>
  <si>
    <t>COPERNICUS GESELLSCHAFT MBH</t>
  </si>
  <si>
    <t>GOTTINGEN</t>
  </si>
  <si>
    <t>BAHNHOFSALLEE 1E, GOTTINGEN, 37081, GERMANY</t>
  </si>
  <si>
    <t>1680-7316</t>
  </si>
  <si>
    <t>1680-7324</t>
  </si>
  <si>
    <t>ATMOS CHEM PHYS</t>
  </si>
  <si>
    <t>Atmos. Chem. Phys.</t>
  </si>
  <si>
    <t>MAY 31</t>
  </si>
  <si>
    <t>10.5194/acp-5-1257-2005</t>
  </si>
  <si>
    <t>Environmental Sciences; Meteorology &amp; Atmospheric Sciences</t>
  </si>
  <si>
    <t>Environmental Sciences &amp; Ecology; Meteorology &amp; Atmospheric Sciences</t>
  </si>
  <si>
    <t>931NX</t>
  </si>
  <si>
    <t>Green Published, Green Submitted, gold, Green Accepted</t>
  </si>
  <si>
    <t>WOS:000229493100001</t>
  </si>
  <si>
    <t>Gabrielli, P; Planchon, FAM; Hong, SM; Lee, KH; Do Hur, S; Barbante, C; Ferrari, CP; Petit, JR; Lipenkov, VY; Cescon, P; Boutron, CF</t>
  </si>
  <si>
    <t>Trace elements in Vostok Antarctic ice during the last four climatic cycles</t>
  </si>
  <si>
    <t>Vostok; trace elements; ice; climate</t>
  </si>
  <si>
    <t>DOME-C; DUST; SNOW; LEAD; SUBPICOGRAM; EMISSIONS; RECORD; CORE</t>
  </si>
  <si>
    <t>Li, V, Cr, Mn, Co, As, Rb, Sr, Ba, Bi and U were determined by inductively coupled plasma sector field mass spectrometry (ICP-SFMS) in various sections of the 3623 m Vostok deep Antarctic ice core dated from 4600 to 410,000 years BP, which corresponds to the last four climatic cycles back to isotopic stage 11.3. Concentrations of all elements were found to be highly variable with low values during interglacial periods and warm interstadials and much higher values during the coldest periods of the last four ice ages. Crustal enrichment factors suggest various sources for the different elements. Rock and soil dust is the dominant source of V, Mn, Rb, Ba and U whatever the period, and of Li, Cr, Co, Sr and As during cold periods. Sea salt aerosol, together with aeolian dust, also contributes significantly to Sr whereas volcanic emissions could provide a significant input for As and Bi especially during warm periods. (c) 2005 Elsevier B.V. All rights reserved.</t>
  </si>
  <si>
    <t>Univ Venice, Dept Environm Sci, I-30123 Venice, Italy; UJF, CNRS, UMR 5183, Lab Glaciol &amp; Geophys Environm, F-38402 St Martin Dheres, France; CNR, Inst Dynam Environm Proc, I-30123 Venice, Italy; KORDI, Korea Polar Res Inst, Seoul 426744, South Korea; Univ Grenoble 1, Polytech Grenoble, Inst Univ France, F-38041 Grenoble, France; Arctic &amp; Antarctic Res Inst, St Petersburg 199397, Russia; Univ Grenoble 1, Unite Format &amp; Rech Phys, Inst Univ France, F-38041 Grenoble, France; Univ Grenoble 1, Observ Sci Univ, Inst Univ France, F-38041 Grenoble, France</t>
  </si>
  <si>
    <t>Universita Ca Foscari Venezia; Communaute Universite Grenoble Alpes; Universite Grenoble Alpes (UGA); Centre National de la Recherche Scientifique (CNRS); Consiglio Nazionale delle Ricerche (CNR); Istituto per la Dinamica dei Processi Ambientali (IDPA-CNR); Korea Polar Research Institute (KOPRI); Korea Institute of Ocean Science &amp; Technology (KIOST); Institut Universitaire de France; Communaute Universite Grenoble Alpes; Universite Grenoble Alpes (UGA); Institut National Polytechnique de Grenoble; Arctic &amp; Antarctic Research Institute; Institut Universitaire de France; Communaute Universite Grenoble Alpes; Universite Grenoble Alpes (UGA); Institut Universitaire de France; Communaute Universite Grenoble Alpes; Universite Grenoble Alpes (UGA)</t>
  </si>
  <si>
    <t>Univ Venice, Dept Environm Sci, I-30123 Venice, Italy.</t>
  </si>
  <si>
    <t>barbante@unive.it</t>
  </si>
  <si>
    <t>Frederic, Planchon A.M./A-8651-2010; Barbante, Carlo/B-3195-2011; Lipenkov, Vladimir/Q-8262-2016</t>
  </si>
  <si>
    <t>Planchon, Frederic/0000-0003-1288-9698; Lipenkov, Vladimir/0000-0003-4221-5440; Barbante, Carlo/0000-0003-4177-2288; Cescon, Paolo/0000-0003-1836-6759</t>
  </si>
  <si>
    <t>MAY 30</t>
  </si>
  <si>
    <t>10.1016/j.epsl.2005.03.001</t>
  </si>
  <si>
    <t>934FV</t>
  </si>
  <si>
    <t>WOS:000229693200017</t>
  </si>
  <si>
    <t>Vlastélic, I; Dosso, L</t>
  </si>
  <si>
    <t>Initiation of a plume-ridge interaction in the South Pacific recorded by high-precision Pb isotopes along Hollister Ridge -: art. no. Q05011</t>
  </si>
  <si>
    <t>GEOCHEMISTRY GEOPHYSICS GEOSYSTEMS</t>
  </si>
  <si>
    <t>plume-ridge interaction; geochemistry : geochemical modeling; geochemistry : mid-oceanic ridge processes; geochemistry : mantle processes</t>
  </si>
  <si>
    <t>ELTANIN TRANSFORM SYSTEM; LOUISVILLE HOTSPOT; ANTARCTIC RIDGE; SEISMIC PROPERTIES; FRACTURE-ZONE; MANTLE PLUME; DOUBLE SPIKE; DYNAMICS; LEAD; CONSTRAINTS</t>
  </si>
  <si>
    <t>The southern Pacific Ocean offers the rare possibility to study a situation where a spreading ridge (the Pacific-Antarctic Ridge (PAR)) migrates toward a fixed hot spot (the Louisville hot spot) (Small, 1995). Hollister Ridge is a 450 km long linear structure whose position, between the PAR axis and the most recent edifices of the Louisville hot spot trail, led some authors to suggest that the ridge is genetically related to the hot spot (Small, 1995; Wessel and Kroenke, 1997). Mapping and sampling of the ridge in 1996 revealed, however, that the contribution of the Louisville plume material to its mantle source is minor and suggested that it might be the result of intraplate deformation (Geli et al., 1998; Vlastelic et al., 1998). We report new, highly precise Pb isotopic data from Hollister Ridge, which (1) confirm that the maximal contribution of the Louisville plume, in the centrally, volcanic active part of the ridge, probably does not exceed 20% (15 and 35% for lower and upper limits) and (2) reveal through time an increasing plume influence. The initiation of the Louisville plume involvement in the source of Hollister Ridge is estimated to have occurred between 1.04 and 0.77 Myr ago. It thus followed closely the most recent volcanic activity reported along the Louisville trail (1.11 Ma (Koppers et al., 2004)). This suggests that Hollister Ridge has recorded the dispersion of the Louisville plume as the spreading ridge approached the hot spot. Assuming that the Louisville hot spot is located near the youngest seamount dredged along the Louisville seamount chain, Hollister Ridge lies along the shortest path of pressure release connecting the hot spot to the spreading axis. This path involves, first, an abrupt upwelling across the Eltanin fault system and, subsequently, a more progressive migration toward the spreading axis. Because Hollister Ridge is older than 2.5 Ma, the structure might not be the consequence of the plume-ridge flow. Instead, Hollister Ridge most likely emplaced through a lithospheric crack (Geli et al., 1998), which, subsequently, may have captured the plume-ridge flow.</t>
  </si>
  <si>
    <t>CNRS, UMR 5025, Lab Geodynam Chaines Alpines, F-38041 Grenoble, France; CNRS, UMR 6538, F-29280 Plouzane, France</t>
  </si>
  <si>
    <t>Centre National de la Recherche Scientifique (CNRS); Communaute Universite Grenoble Alpes; Universite Grenoble Alpes (UGA); Universite de Bretagne Occidentale; Centre National de la Recherche Scientifique (CNRS); CNRS - National Institute for Earth Sciences &amp; Astronomy (INSU)</t>
  </si>
  <si>
    <t>Vlastélic, I (corresponding author), CNRS, UMR 5025, Lab Geodynam Chaines Alpines, 1381 Rue Riscine,BP 53, F-38041 Grenoble, France.</t>
  </si>
  <si>
    <t>ivan.vlastelic@ujf-grenoble.fr</t>
  </si>
  <si>
    <t>Dosso, Laure/A-9520-2009</t>
  </si>
  <si>
    <t>1525-2027</t>
  </si>
  <si>
    <t>GEOCHEM GEOPHY GEOSY</t>
  </si>
  <si>
    <t>Geochem. Geophys. Geosyst.</t>
  </si>
  <si>
    <t>MAY 28</t>
  </si>
  <si>
    <t>Q05011</t>
  </si>
  <si>
    <t>10.1029/2004GC000902</t>
  </si>
  <si>
    <t>935IL</t>
  </si>
  <si>
    <t>WOS:000229774300005</t>
  </si>
  <si>
    <t>Cromer, L; Gibson, JAE; Swadling, KM; Ritz, DA</t>
  </si>
  <si>
    <t>Faunal microfossils: Indicators of Holocene ecological change in a saline Antarctic lake</t>
  </si>
  <si>
    <t>Antarctica; Palaeozoology; invertebrate remains; saline lake; climate changed Isostatic rebound; Ace Lake; Vestfold Hills; meromictic</t>
  </si>
  <si>
    <t>FRESH-WATER LAKE; SEA-LEVEL CHANGE; VESTFOLD HILLS; EAST ANTARCTICA; ACE-LAKE; PARALABIDOCERA-ANTARCTICA; PALEOSALINITY HISTORY; VERTICAL-DISTRIBUTION; ENVIRONMENTAL-CHANGE; DIATOM ASSEMBLAGES</t>
  </si>
  <si>
    <t>The sediment record of the fauna of Ace Lake, a saline meromictic lake in the Vestfold Hills, Antarctica, consists of copepod eggs, spermatophores and exoskeletal fragments, rotifer and tintinnid loricae, and foraminiferal and folliculinid tests. The relative abundance of these remains, along with other characteristics of the core, allows the development of a coherent picture of the progress of Ace Lake from a species-poor, freshwater lake early in the Holocene to a biodiverse marine basin following a marine transgression. Subsequent sea level fall reformed Ace Lake as a saline lake and productivity initially increased after isolation. After a major event, possibly associated with overturn of the meromictic lake, biodiversity and productivity decreased, and have continued to do so until the present. (c) 2005 Elsevier B.V. All rights reserved.</t>
  </si>
  <si>
    <t>Univ Tasmania, Inst Antarct &amp; So Ocean Studies, Hobart, Tas 7001, Australia</t>
  </si>
  <si>
    <t>Univ Tasmania, Inst Antarct &amp; So Ocean Studies, Private Bag 77, Hobart, Tas 7001, Australia.</t>
  </si>
  <si>
    <t>John.Gibson@utas.edu.au</t>
  </si>
  <si>
    <t>Newman, Louise/Q-8592-2019</t>
  </si>
  <si>
    <t>Newman, Louise/0000-0001-9523-8713; Swadling, Kerrie/0000-0002-7620-841X</t>
  </si>
  <si>
    <t>MAY 27</t>
  </si>
  <si>
    <t>10.1016/j.palaeo.2005.02.005</t>
  </si>
  <si>
    <t>931QJ</t>
  </si>
  <si>
    <t>WOS:000229499700005</t>
  </si>
  <si>
    <t>Persson, J; Pleijel, F</t>
  </si>
  <si>
    <t>On the phylogenetic relationships of Axiokebuita, Travisia and Scalibregmatidae (Polychaeta)</t>
  </si>
  <si>
    <t>ZOOTAXA</t>
  </si>
  <si>
    <t>Axiokebuita; Scalibregmatidae; Travisia; Polychaeta; phylogeny; morphology; 18S rDNA; 28S rDNA</t>
  </si>
  <si>
    <t>MOLECULAR-DATA; SEQUENCE DATA; RNA; POSITION; ANNELIDA</t>
  </si>
  <si>
    <t>We provide a description of newly collected specimens of Axiokebuita Pocklington &amp; Fournier from Norway, previously known only from east Canada and the Antarctic. Due to delineation problems between the only two described species, A. minuta (Hartman) and A. millsi Pocklington &amp; Fournier, these new specimens cannot unambiguously be referred to either species. Previously unnoticed adhesive papillae on the pygidium are present in both species and may constitute an apomorphy for Axiokebuita. The taxon lacks many morphological features otherwise characteristic for scalibregmatids, and to assess its affinities we present 18S rDNA and 28S rDNA-based analyses together with six other scalibregmatids and twenty other polychaetes. A nemertean is used as out-group. All analyses support that Axiokebuita is a scalibregmatid. Furthermore, Travisia Johnston, traditionally referred to the Opheliidae, is nested within the scalibregmatids, as sister to Neolipobranchius Hartman &amp; Fauchald. Arenicolidae and Maldanidae may constitute the sister group of scalibregmatids.</t>
  </si>
  <si>
    <t>Univ Gothenburg, Dept Zool, SE-40530 Gothenburg, Sweden; Univ Gothenburg, Tjarno Marine Biol Lab, Dept Marine Ecol, SE-45296 Stromstad, Sweden; Museum Natl Hist Nat, Dept Systemat &amp; Evolut, CNRS, UMR 7138, F-75231 Paris, France</t>
  </si>
  <si>
    <t>University of Gothenburg; University of Gothenburg; Museum National d'Histoire Naturelle (MNHN); Centre National de la Recherche Scientifique (CNRS); CNRS - National Institute for Biology (INSB); Sorbonne Universite</t>
  </si>
  <si>
    <t>Persson, J (corresponding author), Univ Gothenburg, Dept Zool, POB 463, SE-40530 Gothenburg, Sweden.</t>
  </si>
  <si>
    <t>jenny.persson@zool.gu.se; fredrik.pleijel@tmbl.gu.se</t>
  </si>
  <si>
    <t>MAGNOLIA PRESS</t>
  </si>
  <si>
    <t>AUCKLAND</t>
  </si>
  <si>
    <t>PO BOX 41-383, AUCKLAND, 1030, NEW ZEALAND</t>
  </si>
  <si>
    <t>1175-5334</t>
  </si>
  <si>
    <t>Zootaxa</t>
  </si>
  <si>
    <t>Zoology</t>
  </si>
  <si>
    <t>929XV</t>
  </si>
  <si>
    <t>WOS:000229380800001</t>
  </si>
  <si>
    <t>Anilkumar, N; Dash, MK; Luis, AJ; Babu, VR; Somayajulu, YK; Sudhakar, M; Pandey, PC</t>
  </si>
  <si>
    <t>Oceanic fronts along 45°E across Antarctic Circumpolar Current during austral summer 2004</t>
  </si>
  <si>
    <t>CURRENT SCIENCE</t>
  </si>
  <si>
    <t>SOUTHERN-OCEAN; WATER MASSES; AFRICA</t>
  </si>
  <si>
    <t>A pilot expedition was launched to monitor the oceanic fronts in the southwestern sector of the Indian Ocean during January-February 2004. Major fronts along 45 degrees E between 40 and 56 degrees S were delineated and their spatial variations during 6-17 February have been compared with earlier studies. The Agulhas Return Front (ARF) has been identified between 40 degrees 15' and 41 degrees 15'S with a change in temperature from 19 to 17 degrees C and a change in salinity from 35.54 to 35.39 parts per thousand at the surface. The position of Subtropical Front (STF) was observed between 41 degrees 15' and 42 degrees 15'S, with a rapid decrease in surface temperature from 17 to 10.6 degrees C and salinity from 35.35 to 34.05 parts per thousand. The Subantarctic Front has been located between latitudes 42 degrees 30' and 47 degrees S, with a change in surface temperature from 9.7 to 6.3 degrees C and change in surface salinity from 34.0 to 33.85 parts per thousand. One of the significant findings here compared to previous studies is the identification of ARF and STF with almost equal width of similar to 110 km. In addition, the Surface Polar Front and the Subsurface Polar Front were also identified between 48 and 52 degrees S. Temperature minimum layer has been located between 49 and 56 degrees S and extends from 150 to 200 m. Its existence has been attributed to the residue of the previous winter mixed layer capped by seasonal warming and freshening. The freshwater input thickness from 49 to 56 degrees S was estimated to be 55 +/- 15cm, with a major thickness (69 cm) at 54 degrees S. It is suggested that the freshening south of the polar front could be due to the advection of melt water originating from the Weddell Basin.</t>
  </si>
  <si>
    <t>Natl Ctr Antarct &amp; Ocean Res, Headland Sada 403804, Goa, India; Natl Inst Oceanog, Panaji 403004, Goa, India</t>
  </si>
  <si>
    <t>Ministry of Earth Sciences (MoES) - India; National Centre for Polar and Ocean Research (NCPOR); Council of Scientific &amp; Industrial Research (CSIR) - India; CSIR - National Institute of Oceanography (NIO)</t>
  </si>
  <si>
    <t>Natl Ctr Antarct &amp; Ocean Res, Headland Sada 403804, Goa, India.</t>
  </si>
  <si>
    <t>anil@ncaor.org</t>
  </si>
  <si>
    <t>Veligatla, Ramesh Babu/L-1461-2017</t>
  </si>
  <si>
    <t>Luis, Dr Alvarinho J./0000-0002-3425-8048</t>
  </si>
  <si>
    <t>INDIAN ACAD SCIENCES</t>
  </si>
  <si>
    <t>0011-3891</t>
  </si>
  <si>
    <t>CURR SCI INDIA</t>
  </si>
  <si>
    <t>Curr. Sci.</t>
  </si>
  <si>
    <t>MAY 25</t>
  </si>
  <si>
    <t>934TG</t>
  </si>
  <si>
    <t>WOS:000229730700031</t>
  </si>
  <si>
    <t>Burns, GB; Frank-Kamenetsky, AV; Troshichev, OA; Bering, EA; Reddell, BD</t>
  </si>
  <si>
    <t>Interannual consistency of bi-monthly differences in diurnal variations of the ground-level, vertical electric field</t>
  </si>
  <si>
    <t>GEOELECTRIC FIELD; SEASONAL-VARIATIONS; VOSTOK; CIRCUIT; STATION</t>
  </si>
  <si>
    <t>Interyear consistency is demonstrated in the bi-monthly average diurnal vertical electric field measured over similar to 720 fair-weather days collected during a 5-year interval (1998 to 2002) at Vostok (78.5 degrees S, 107 degrees E; magnetic latitude 83.6 degrees S), Antarctica. After correcting for the influence of polar-cap convection, seasonal peaks in the average electric field values occur around July-August with a diurnal maximum at similar to 2050 UT while lowest average magnitudes are measured near November-December when the associated diurnal maximum occurs at similar to 1830 UT. These variations are consistent with expected seasonal changes in global thunderstorm activity. Comparisons of ground-level vertical electric field measurements (Vm(-1)) with Weimer-1996 model cross-polar cap potentials above Vostok (kV) for individual UT hours yield significant correlations over all hours but with reduced standard errors around local magnetic noon (similar to 1300 UT). This implies a more direct linkage between solar wind parameters and the cross-polar cap potential near magnetic noon, for this site (magnetic latitude: 83.6 degrees S). An all hours - all seasons linkage factor of 0.76 +/- 0.06 Vm(-1) per kV is determined, broadly consistent with an average ionosphere-ground potential difference of similar to 250 kV and a measured average vertical electric field of 185 Vm(-1). Evidence is presented supporting a seasonal variation in this linkage factor, with generally lower magnitudes in the austral winter (May to August).</t>
  </si>
  <si>
    <t>Australian Govt, Australian Antarctic Div, Kingston, Tas 7050, Australia; Arctic &amp; Antarctic Res Inst, St Petersburg 194175, Russia; Univ Houston, Dept Phys, Houston, TX 77204 USA</t>
  </si>
  <si>
    <t>Australian Antarctic Division; Arctic &amp; Antarctic Research Institute; University of Houston System; University of Houston</t>
  </si>
  <si>
    <t>Australian Govt, Australian Antarctic Div, Kingston, Tas 7050, Australia.</t>
  </si>
  <si>
    <t>gary.burns@aad.gov.au</t>
  </si>
  <si>
    <t>D10</t>
  </si>
  <si>
    <t>D10106</t>
  </si>
  <si>
    <t>10.1029/2004JD005469</t>
  </si>
  <si>
    <t>935IS</t>
  </si>
  <si>
    <t>WOS:000229775100003</t>
  </si>
  <si>
    <t>Schmiedl, G; Leuschner, DC</t>
  </si>
  <si>
    <t>Oxygenation changes in the deep western Arabian Sea during the last 190,000 years: Productivity versus deepwater circulation</t>
  </si>
  <si>
    <t>RECENT BENTHIC FORAMINIFERA; INDIAN-OCEAN; RED-SEA; MINIMUM ZONE; CONTINENTAL-MARGIN; ORGANIC-CARBON; MICROHABITAT PREFERENCES; THERMOHALINE CIRCULATION; SEDIMENT GEOCHEMISTRY; MATTER DIAGENESIS</t>
  </si>
  <si>
    <t>[ 1] Fluctuations in the abundance of selected foraminiferal indicator species and diversity allowed the reconstruction of changes in deepwater oxygenation and monsoon-driven organic matter fluxes in the deep western Arabian Sea during the last 190 kyr. Times of maximum surface production coincide with periods of intensified SW monsoon as shown by the abundance of Globigerina bulloides and enhanced carbonate corrosion. Benthic ecosystem variability in the deep Arabian Sea is not exclusively driven by variations in monsoonal upwelling and related organic matter supply to the seafloor but also by changes in deepwater ventilation. Deepening of the base of the oxygen minimum zone (OMZ) below 1800 m water depth is strongly coherent on the precessional band but lags proxies of SW monsoon strength by 4 to 6 kyr. The out-of-phase'' relationship between OMZ deepening and maximum SW monsoon strength is explained by temporal changes in the advection of oxygen-rich deepwater masses of North Atlantic and Antarctic origin. This process affected the remineralization and burial efficiency of organic matter in the deep Arabian Sea, resulting in the observed phase lag between maximum monsoon strength and organic carbon preservation.</t>
  </si>
  <si>
    <t>Univ Leipzig, Inst Geophys &amp; Geol, D-04103 Leipzig, Germany</t>
  </si>
  <si>
    <t>Leipzig University</t>
  </si>
  <si>
    <t>Univ Leipzig, Inst Geophys &amp; Geol, Talstr 35, D-04103 Leipzig, Germany.</t>
  </si>
  <si>
    <t>schmiedl@rz.uni-leipzig.de; dcleu@rz.uni-leipzig.de</t>
  </si>
  <si>
    <t>Schmiedl, Gerhard/E-6644-2017</t>
  </si>
  <si>
    <t>Schmiedl, Gerhard/0000-0002-2177-6858</t>
  </si>
  <si>
    <t>MAY 24</t>
  </si>
  <si>
    <t>PA2008</t>
  </si>
  <si>
    <t>10.1029/2004PA001044</t>
  </si>
  <si>
    <t>935JO</t>
  </si>
  <si>
    <t>WOS:000229777700001</t>
  </si>
  <si>
    <t>Holmes, B</t>
  </si>
  <si>
    <t>Extreme palaeontology</t>
  </si>
  <si>
    <t>NEW SCIENTIST</t>
  </si>
  <si>
    <t>Palaeontologists have a reputation as a rugged bunch and brave extreme conditions to uncover fossilized dinosaur remains in such places as the Antarctic, Alaska and Greenland. Until recently the best known fossil remains came from western Europe, North America and east Asia. The rest of the world, particularilythe southern continents and high latitudes, was relatively unchartered territory. In recent years palaeontologists have worked hard to put this right and bones, footprints or eggs have been found at more than 1000 locations worldwide, almost doubling the number of known genera of dinosaurs from around 300 to 500.</t>
  </si>
  <si>
    <t>REED BUSINESS INFORMATION LTD</t>
  </si>
  <si>
    <t>SUTTON</t>
  </si>
  <si>
    <t>QUADRANT HOUSE THE QUADRANT, SUTTON SM2 5AS, SURREY, ENGLAND</t>
  </si>
  <si>
    <t>0262-4079</t>
  </si>
  <si>
    <t>NEW SCI</t>
  </si>
  <si>
    <t>New Sci.</t>
  </si>
  <si>
    <t>MAY 21</t>
  </si>
  <si>
    <t>928UD</t>
  </si>
  <si>
    <t>WOS:000229296300037</t>
  </si>
  <si>
    <t>Kulesa, CA; Hungerford, AL; Walker, CK; Zhang, XL; Lane, AP</t>
  </si>
  <si>
    <t>Large-scale CO and [CI] emission in the p Ophiuchi molecular cloud</t>
  </si>
  <si>
    <t>ASTROPHYSICAL JOURNAL</t>
  </si>
  <si>
    <t>ISM : atoms; ISM : clouds; ISM : individual (p Ophiuchi); ISM : molecules; radio lines : ISM</t>
  </si>
  <si>
    <t>FINE-STRUCTURE TRANSITIONS; CLUMPY PHOTODISSOCIATION REGIONS; DARK CLOUD; STAR-FORMATION; INTERSTELLAR CLOUDS; WATER ABUNDANCE; LINE EMISSION; ATOMIC CARBON; RHO OPH; SUBMILLIMETER</t>
  </si>
  <si>
    <t>We present a comprehensive study of the rho Ophiuchi molecular cloud that addresses aspects of the physical structure and condition of the molecular cloud and its photodissociation region ( PDR) by combining far- infrared and submillimeter- wave observations with a wide range of angular scale and resolution. We present 1600 arcmin(2) maps ( 2.3 pc(2)) with 0.1 pc resolution in submillimeter CO ( 4 -&gt; 3) and [ C (I)] ( P-3(1) -&gt; P-3(0)) line emission from the Antarctic Submillimeter Telescope and Remote Observatory ( AST/ RO) and pointed observations in the CO ( 7 -&gt; 6) and [ C (I)] ( P-3(2)-&gt; P-3(1)) lines. Within the large- scale maps, smaller spectral line maps of 3000 AU resolution over similar to 90 arcmin(2) ( 0.2 pc(2)) of the cloud in CO, CS, HCO+, and their rare isotopomers are made at the Heinrich Hertz Telescope ( HHT) in Arizona. Comparison of CO, HCO+, and [ C (I)] maps with far- infrared observations of atomic and ionic species from the Infrared Space Observatory ( ISO) far- infrared and submillimeter continuum emission and near- infrared H-2 emission allows clearer determination of the physical and chemical structure of the rho Oph PDR, since each species probes a different physical region of the cloud structure. Although a homogeneous plane- parallel PDR model can reproduce many of the observations described here, the excitation conditions needed to produce the observed HCO+ and [O (I)] emission imply inhomogeneous structure. Strong chemical gradients are observed in HCO+ and CS; the former is ascribed to a local enhancement in the H2 ionization rate, and the latter is principally due to shocks. Under the assumption of a simple two- component gas model for the cloud, we find that [ C (II)] and [ C-I] emission predominantly arises from the lower density envelopes ( 10(3) - 10(4) cm (-3)) that surround denser cloud condensations, or `` clumps.'' The distribution of [ C (I)] is very similar to that of (CO)-O-18 and is generally consistent with illumination from the `` far'' side of the cloud. A notable exception is found at the western edge of the cloud, where UV photons create a PDR viewed `` edge- on.'' The abundance of atomic carbon is accurately modeled using a radiation field that decreases with increasing projected distance from the exciting star HD 147889 and a total gas column density that follows that of C18O, decreasing toward the edges of the cloud. In contrast to the conclusions of other studies, we find that no nonequilibrium chemistry is needed to enhance the [ C (I)] abundance. Each spectral line is traced to a particular physical component of the cloud and PDR. Although CO rotational line emission originates from both dense condensations and diffuse envelopes, the millimeter- wave transitions mostly find their origins in envelope material, whereas the high- J submillimeter lines stem more from the dense clumps. Submillimeter HCO+ and infrared [ O (I)] and [ C (II)] emission indicate clump surface temperatures of 50 - 200 K, an ultraviolet radiation field with I-UV approximate to 10-90, densities of 10(5) - 10(6) cm(-3), and interior temperatures of &lt;= 20 K. This study highlights the value of large- scale infrared and submillimeter mapping for the interpretation of molecular cloud pysical and chemical structure, and important future observations are highlighted.</t>
  </si>
  <si>
    <t>Univ Arizona, Steward Observ, Tucson, AZ 85721 USA; Harvard Smithsonian Ctr Astrophys, Cambridge, MA 02138 USA</t>
  </si>
  <si>
    <t>University of Arizona; Smithsonian Institution; Harvard University; Smithsonian Astrophysical Observatory</t>
  </si>
  <si>
    <t>Univ Arizona, Steward Observ, Tucson, AZ 85721 USA.</t>
  </si>
  <si>
    <t>ckulesa@as.arizona.edu; aimee@as.arizona.edu; cwalker@as.arizona.edu; zhang@rosette.gsfc.nasa.gov; adair@cfa.harvard.edu</t>
  </si>
  <si>
    <t>Hungerford, Aimee/0000-0001-6893-0608</t>
  </si>
  <si>
    <t>IOP PUBLISHING LTD</t>
  </si>
  <si>
    <t>TEMPLE CIRCUS, TEMPLE WAY, BRISTOL BS1 6BE, ENGLAND</t>
  </si>
  <si>
    <t>0004-637X</t>
  </si>
  <si>
    <t>1538-4357</t>
  </si>
  <si>
    <t>ASTROPHYS J</t>
  </si>
  <si>
    <t>Astrophys. J.</t>
  </si>
  <si>
    <t>MAY 20</t>
  </si>
  <si>
    <t>10.1086/426096</t>
  </si>
  <si>
    <t>925IK</t>
  </si>
  <si>
    <t>WOS:000229046600018</t>
  </si>
  <si>
    <t>Hirawake, T; Kudoh, S; Aoki, S; Odate, T; Fukuchi, M</t>
  </si>
  <si>
    <t>Inter-annual variability of chlorophyll and sea-ice in the Antarctic Divergence region: an attempt to derive their quantitative relationship</t>
  </si>
  <si>
    <t>INTERNATIONAL JOURNAL OF REMOTE SENSING</t>
  </si>
  <si>
    <t>MERTZ GLACIER REGION; OCEAN CIRCULATION; ADELIE LAND; PHYTOPLANKTON; COLOR; MICROWAVE; JANUARY; SUMMER; EXTENT; EDGE</t>
  </si>
  <si>
    <t>Inter-annual variability in chlorophyll a (ch a) and sea-ice concentration in the Antarctic Divergence (AD) region near 140 degrees E was examined using satellite sensor data in order to derive a quantitative relationship between the two. Sea-viewing Wide Field-of-view Sensor (SeaWiFS) derived chl a and Special Sensor Microwave/Imager (SSM/I) derived sea-ice concentration data during 1997-2003 were analysed. Mean chl a concentration south of 64 degrees S during the period between September and April (from austral spring to autumn) of each year was calculated. The mean chl a in 2001/2002 was extremely high (1.08 mg m(-3)) within the six periods between 1997/1998 and 2002/2003. Simply integrated indices on sea-ice amount, such as the maximum sea-ice extent in the winter season, annual integration of coverage area over ice edge to coast, were not able to explain inter-annual variation of chl a, especially the highest chl a value in 2001/2002. We found a high correlation between the chl a south of 64 degrees S and the sea-ice index, which might be due to the surface meltwater of the sea-ice from the AD zone as a result of eddies. The quantitative relationship might have contributed to the prediction of phytoplankton blooms in this coastal region and demonstrated the impact of the sea-ice extent on the Antarctic marine ecosystem.</t>
  </si>
  <si>
    <t>Natl Inst Polar Res, Itabashi Ku, Tokyo 1738515, Japan; Hokkaido Univ, Inst Low Temp Sci, Sapporo, Hokkaido 0600819, Japan</t>
  </si>
  <si>
    <t>Research Organization of Information &amp; Systems (ROIS); National Institute of Polar Research (NIPR) - Japan; Hokkaido University</t>
  </si>
  <si>
    <t>Natl Inst Polar Res, Itabashi Ku, 9-10 Kaga 1, Tokyo 1738515, Japan.</t>
  </si>
  <si>
    <t>hirawake@nipr.ac.jp</t>
  </si>
  <si>
    <t>Aoki, Shigeru/D-9105-2012</t>
  </si>
  <si>
    <t>Hirawake, Toru/0000-0003-0274-6642</t>
  </si>
  <si>
    <t>0143-1161</t>
  </si>
  <si>
    <t>1366-5901</t>
  </si>
  <si>
    <t>INT J REMOTE SENS</t>
  </si>
  <si>
    <t>Int. J. Remote Sens.</t>
  </si>
  <si>
    <t>10.1080/01431160500075733</t>
  </si>
  <si>
    <t>Remote Sensing; Imaging Science &amp; Photographic Technology</t>
  </si>
  <si>
    <t>947LQ</t>
  </si>
  <si>
    <t>WOS:000230647000002</t>
  </si>
  <si>
    <t>Dyksterhuis, S; Müller, RD; Albert, RA</t>
  </si>
  <si>
    <t>Paleostress field evolution of the Australian continent since the Eocene -: art. no. B05102</t>
  </si>
  <si>
    <t>INTRAPLATE STRESS-FIELD; LITHOSPHERE; COLLISION; THICKNESS; FORCES; AGE</t>
  </si>
  <si>
    <t>Although the low-order present stress field of most continents is fairly well established, information on paleostress fields is generally sparse. Knowledge of paleostresses is crucial for understanding brittle tectonic reactivation through time. The Indian-Australian plate lends itself well to a reconstruction of paleostresses, as it has undergone enormous changes in plate-driving forces through the Tertiary, and there is a rich record of fault reactivation from sedimentary basins. We reconstruct the plate boundary configuration and age-area distribution of ocean crust around Australia through time to obtain estimates for ridge push, slab pull, and collisional forces acting on the Indian-Australian plate since the Eocene. Other model parameters we explore are the effects of the Australian-Antarctic discordance and the mechanical strength of the Australian continental margin. We apply these constraints to model the orientation of the maximum horizontal compressive stress (S-Hmax) regime for the present, early Miocene, and early Eocene using the commercial software ABAQUS(TM) along with the optimization software Nimrod/O. We use an elastic two-dimensional plane stress finite element model with a resolution of similar to 0.2 degrees in both longitude and latitude. Realistic elastic parameters representing different rock types and geologic provinces for the Australian continent have been included to model the stress field of a heterogeneous plate. We show that spatially significant rotations of S-Hmax directions can be modeled as a consequence of perturbations of S-Hmax in areas of juxtaposed rigid and compliant rheologies. The absence of the collisional Papua New Guinea boundary in the Miocene and reduced ridge push force from the south result in stress directions considerably different from the present. Stress directions over the northern Australian continent in the early Miocene in particular show large disparity with present stress directions. Stress orientations for the Australian plate during the early Eocene are controlled predominantly by ridge push forces arising from spreading in the Wharton Basin in the Indian Ocean and vary substantially with stress directions in the early Miocene and the present because of the drastically different plate geometry and boundary configurations. Fault reactivation histories observed on the northwest shelf of Australia and in the Bass Strait region are consistent with modeled changes in stress directions through time.</t>
  </si>
  <si>
    <t>Univ Sydney, Inst Marine Sci, Sydney, NSW 2006, Australia</t>
  </si>
  <si>
    <t>University of Sydney</t>
  </si>
  <si>
    <t>Univ Sydney, Inst Marine Sci, Edgeworth David Bldg F05, Sydney, NSW 2006, Australia.</t>
  </si>
  <si>
    <t>scottd@geosci.usyd.edu.au; dietmar@geosci.usyd.edu.au; richard.albert@exxonmobil.com</t>
  </si>
  <si>
    <t>Müller, Dietmar/L-1200-2019</t>
  </si>
  <si>
    <t>Müller, Dietmar/0000-0002-3334-5764</t>
  </si>
  <si>
    <t>MAY 17</t>
  </si>
  <si>
    <t>B5</t>
  </si>
  <si>
    <t>B05102</t>
  </si>
  <si>
    <t>10.1029/2003JB002728</t>
  </si>
  <si>
    <t>932WU</t>
  </si>
  <si>
    <t>WOS:000229586000001</t>
  </si>
  <si>
    <t>Dhaked, RK; Alam, SI; Dixit, A; Singh, L</t>
  </si>
  <si>
    <t>Purification and characterization of thermo-labile alkaline phosphatase from an Antarctic psychrotolerant Bacillus sp P9</t>
  </si>
  <si>
    <t>ENZYME AND MICROBIAL TECHNOLOGY</t>
  </si>
  <si>
    <t>alkaline phosphatase; psych rotolerant; Antarctica; Bacillus sphaericus</t>
  </si>
  <si>
    <t>SCHIRMACHER OASIS; BACTERIA; ARTHROBACTER; LAKE</t>
  </si>
  <si>
    <t>A psychrotolerant Bacillus sp. from Antarctica produced an alkaline phosphatase in the culture supernatant. The strain showed 98.4% 16s rDNA sequence identity with Bacillus sphaericus. The 76 kDa protein was purified 11.1-fold showing alkaline phosphomonoesterase activity. Enzyme was optimally produced at 25 degrees C and pH 7.0. This cold active alkaline phosphatase is heat labile and gets completely inactivated at 60 degrees C in 50 min and is active in broad pH range. (c) 2005 Elsevier Inc. All rights reserved.</t>
  </si>
  <si>
    <t>Def Res &amp; Dev Estab, Div Biotechnol, Gwalior 474002, Madhya Pradesh, India</t>
  </si>
  <si>
    <t>Defence Research &amp; Development Organisation (DRDO); Defence Research &amp; Development Establishment (DRDE)</t>
  </si>
  <si>
    <t>Def Res &amp; Dev Estab, Div Biotechnol, Jhansi Rd, Gwalior 474002, Madhya Pradesh, India.</t>
  </si>
  <si>
    <t>lst2397@rediffinail.com</t>
  </si>
  <si>
    <t>0141-0229</t>
  </si>
  <si>
    <t>1879-0909</t>
  </si>
  <si>
    <t>ENZYME MICROB TECH</t>
  </si>
  <si>
    <t>Enzyme Microb. Technol.</t>
  </si>
  <si>
    <t>MAY 16</t>
  </si>
  <si>
    <t>10.1016/j.enzmictec.2004.11.017</t>
  </si>
  <si>
    <t>Biotechnology &amp; Applied Microbiology</t>
  </si>
  <si>
    <t>927CG</t>
  </si>
  <si>
    <t>WOS:000229169400002</t>
  </si>
  <si>
    <t>Taylor, S; Alexander, CMO; Delaney, J; Ma, P; Herzog, GF; Engrand, C</t>
  </si>
  <si>
    <t>Isotopic fractionation of iron, potassium, and oxygen in stony cosmic spherules: Implications for heating histories and sources</t>
  </si>
  <si>
    <t>GEOCHIMICA ET COSMOCHIMICA ACTA</t>
  </si>
  <si>
    <t>DEEP-SEA SPHERULES; CARBONACEOUS CHONDRITES; ANTARCTIC MICROMETEORITES; ATMOSPHERIC ENTRY; ELEMENTAL COMPOSITION; INTERPLANETARY DUST; EVAPORATION; METEORITES; MATRIX; CONSTRAINTS</t>
  </si>
  <si>
    <t>Atmospheric heating alters the compositions and textures of micrometeorites. To understand the changes and to test a proposed relationship between a micrometeorite's petrographic texture and its degree of heating, we made elemental and multiple isotope analyses of stony cosmic spherules (sCS) collected from the South Pole Water well. Specifically, we analyzed the elemental compositions of 94 sCS and the isotopic ratios of Fe, K and O, on 43, 12 and 8 of these sCS, respectively. Our results show that sCS classified as strongly heated generally have lower concentrations of volatile and moderately volatile elements. Of the 43 spherules analyzed for Fe isotopes, only 5 have delta(57)Fe &gt;5 parts per thousand. In contrast, enrichment of K-41 is pervasive (delta(41)K &gt; 0 in all 12 spherules analyzed) and large (up to 183 parts per thousand). The determination of K isotope abundances in sCS may therefore be useful in deciphering thermal histories. Three of the eight sCS analyzed for O isotopes are mass fractionated with delta(18)O &gt; 30 parts per thousand. We attribute two of these three delta(18)O enrichments to evaporative losses of oxygen in the atmosphere and the third to the presence in the parent material of an exotic phase, perhaps a sulfate or a carbonate. The K isotope and O isotope data are broadly consistent with the proposed textural classification. Because most spherules were not heated enough to fractionate Al, Mg, or Si, we compared the measured Mg/Al and Si/Al ratios directly to those of conventional meteorites and their matrices. similar to 30% of the sCS have compositions outside the range defined by the bulk and the matrix compositions of known meteorite groups but consistent with those of pyroxene- and olivine-rich materials and may be samples of chondrules. The other 70% have Mg/Al and Si/Al ratios similar to those of Cl, CM, CO, and CV chondrites. Natural variability of the Mg/Al and Si/Al ratios precludes the assignment of an individual sCS to a particular class of C-chondrite. Copyright (c) 2005 Elsevier Ltd.</t>
  </si>
  <si>
    <t>CRREL, Hanover, NH 03755 USA; Dept Terr Magnetism, Washington, DC 20001 USA; Rutgers State Univ, Dept Geol Sci, Piscataway, NJ 08854 USA; Rutgers State Univ, Dept Chem &amp; Biol Chem, Piscataway, NJ 08854 USA; CSNSM, F-91405 Orsay, France</t>
  </si>
  <si>
    <t>United States Department of Defense; United States Army; U.S. Army Corps of Engineers; U.S. Army Engineer Research &amp; Development Center (ERDC); Cold Regions Research &amp; Engineering Laboratory (CRREL); Carnegie Institution for Science; Rutgers University System; Rutgers University New Brunswick; Rutgers University System; Rutgers University New Brunswick; Universite Paris Saclay</t>
  </si>
  <si>
    <t>Taylor, S (corresponding author), CRREL, 72 Lyme Rd, Hanover, NH 03755 USA.</t>
  </si>
  <si>
    <t>Susan.Taylor@erdc.usace.army.mil</t>
  </si>
  <si>
    <t>Alexander, Conel M. O'D./N-7533-2013</t>
  </si>
  <si>
    <t>Alexander, Conel M. O'D./0000-0002-8558-1427</t>
  </si>
  <si>
    <t>0016-7037</t>
  </si>
  <si>
    <t>GEOCHIM COSMOCHIM AC</t>
  </si>
  <si>
    <t>Geochim. Cosmochim. Acta</t>
  </si>
  <si>
    <t>MAY 15</t>
  </si>
  <si>
    <t>10.1016/j.gca.2004.11.027</t>
  </si>
  <si>
    <t>929LO</t>
  </si>
  <si>
    <t>WOS:000229347800014</t>
  </si>
  <si>
    <t>Liston, GE; Winther, JG</t>
  </si>
  <si>
    <t>Antarctic surface and subsurface snow and ice melt fluxes</t>
  </si>
  <si>
    <t>DRONNING-MAUD-LAND; BIDIRECTIONAL REFLECTANCE; MELTWATER PRODUCTION; MICROWAVE EMISSION; EAST ANTARCTICA; TAYLOR VALLEY; SATELLITE; PENINSULA; SHEET; GLACIER</t>
  </si>
  <si>
    <t>This paper presents modeled surface and subsurface melt fluxes across near-coastal Antarctica. Simulations were performed using a physical-based energy balance model developed in conjunction with detailed field measurements in a mixed snow and blue-ice area of Dronning Maud Land, Antarctica. The model was combined with a satellite-derived map of Antarctic snow and blue-ice areas, 10 yr (1991-2000) of Antarctic meteorological station data, and a high-resolution meteorological distribution model, to provide daily simulated melt values on a 1-km grid covering Antarctica. Model simulations showed that 11.8% and 21.6% of the Antarctic continent experienced surface and subsurface melt, respectively. In addition, the simulations produced 10-yr averaged subsurface meltwater production fluxes of 316.5 and 57.4 km(3) yr(-1) for snow-covered and blue-ice areas, respectively. The corresponding figures for surface melt were 46.0 and 2.0 km(3) yr(-1), respectively, thus demonstrating the dominant role of subsurface over surface meltwater production. In total, computed surface and subsurface meltwater production values equal 31 mm yr(-1) if evenly distributed over all of Antarctica. While, at any given location, meltwater production rates were highest in blue-ice areas, total annual Antarctic meltwater production was highest for snow-covered areas due to its larger spatial extent. The simulations also showed higher interannual meltwater variations for surface melt than subsurface melt. Since most of the produced meltwater refreezes near where it was produced, the simulated melt has little effect on the Antarctic mass balance. However, the melt contribution is important for the surface energy balance and in modifying surface and near-surface snow and ice properties such as density and grain size.</t>
  </si>
  <si>
    <t>Colorado State Univ, Dept Atmospher Sci, Ft Collins, CO 80523 USA; Norwegian Polar Res Inst, Polar Environm Ctr, Tromso, Norway</t>
  </si>
  <si>
    <t>Colorado State University; Norwegian Polar Institute</t>
  </si>
  <si>
    <t>Liston, GE (corresponding author), Colorado State Univ, Dept Atmospher Sci, Ft Collins, CO 80523 USA.</t>
  </si>
  <si>
    <t>liston@atmos.colostate.edu</t>
  </si>
  <si>
    <t>10.1175/JCLI3344.1</t>
  </si>
  <si>
    <t>931HO</t>
  </si>
  <si>
    <t>WOS:000229476600002</t>
  </si>
  <si>
    <t>McDonagh, EL; Bryden, HL; King, BA; Sanders, RJ; Cunningham, SA; Marsh, R</t>
  </si>
  <si>
    <t>Decadal changes in the south Indian Ocean thermocline</t>
  </si>
  <si>
    <t>ANTHROPOGENIC CLIMATE-CHANGE; ANTARCTIC MODE WATER; 32-DEGREES-S; SECTION; SEA</t>
  </si>
  <si>
    <t>A significant change in properties of the thermocline is observed across the whole Indian Ocean 32 degrees S section between 1987 and 2002. This change represents a reversal of the pre-1987 freshening and decreasing oxygen concentrations of the upper thermocline that had been interpreted as a fingerprint of anthropogenic climate change. The thermocline at the western end of the section (40 degrees-70 degrees E) is occupied by a single variety of mode water with a potential temperature of around 13 degrees C. The thermocline at the eastern end of the 32 degrees S section is occupied by mode waters with a range of properties cooling from similar to 11 degrees C at 80 degrees E to similar to 9 degrees C near the Australian coast. The change in theta-S properties between 1987 and 2002 is zonally coherent east of 80 degrees E, with a maximum change on isopycnals at 11.6 degrees C. Ages derived from helium-tritium data imply that the mode waters at all longitudes take about the same time to reach 32 degrees S from their respective ventilation sites. Dissolved oxygen concentration changes imply that all of the mode water reached the section similar to 20% faster in 2002 than in 1987.</t>
  </si>
  <si>
    <t>Southampton Oceanog Ctr, Southampton SO14 3ZH, Hants, England</t>
  </si>
  <si>
    <t>NERC National Oceanography Centre; University of Southampton</t>
  </si>
  <si>
    <t>McDonagh, EL (corresponding author), Southampton Oceanog Ctr, Empress Dock, Southampton SO14 3ZH, Hants, England.</t>
  </si>
  <si>
    <t>elm@soc.soton.ac.uk</t>
  </si>
  <si>
    <t>Marsh, Robert/G-4988-2013; Sanders, Richard J/B-8717-2012</t>
  </si>
  <si>
    <t>Sanders, Richard J/0000-0002-6884-7131; Bryden, Harry/0000-0002-8216-6359; Marsh, Robert/0000-0002-1051-8749; McDonagh, Elaine/0000-0002-8813-4585</t>
  </si>
  <si>
    <t>10.1175/JCLI3350.1</t>
  </si>
  <si>
    <t>WOS:000229476600010</t>
  </si>
  <si>
    <t>Denis, L; Roscoe, HK; Chipperfield, MP; Van Roozendael, M; Goutail, F</t>
  </si>
  <si>
    <t>A new software suite for NO2 vertical profile retrieval from ground-based zenith-sky spectrometers</t>
  </si>
  <si>
    <t>JOURNAL OF QUANTITATIVE SPECTROSCOPY &amp; RADIATIVE TRANSFER</t>
  </si>
  <si>
    <t>stratosphere; inversion; nitrogen oxides</t>
  </si>
  <si>
    <t>AIR-MASS FACTORS; VISIBLE SPECTROMETERS; OZONE; LAUDER; TRENDS</t>
  </si>
  <si>
    <t>Here we present an operational method to improve accuracy and information content of ground-based measurements of stratospheric NO2. The motive is to improve the investigation of trends in NO2, and is important because the current trend in NO2 appears to contradict the trend in its source, suggesting that the stratospheric circulation has changed. To do so, a new software package for retrieving NO2 vertical profiles from slant columns measured by zenith-sky spectrometers has been created. It uses a Rodgers optimal linear inverse method coupled with a radiative transfer model for calculations of transfer functions between profiles and columns, and a chemical box model for taking into account the NO2 variations during twilight and during the day. Each model has parameters that vary according to season and location. Forerunners of each model have been previously validated. The scheme maps random errors in the measurements and systematic errors in the models and their parameters on to the retrieved profiles. Initialisation for models is derived from well-established climatologies. The software has been tested by comparing retrieved profiles to simultaneous balloon-borne profiles at mid-latitudes in spring. (C) 2004 Elsevier Ltd. All rights reserved.</t>
  </si>
  <si>
    <t>British Antarctic Survey, NERC, Cambridge CB3 0ET, England; Univ Leeds, Ctr Environm, Leeds LS2 9JT, W Yorkshire, England; Belgian Inst Space Astron, BIRA, IASB, B-1180 Brussels, Belgium; CNRS, Serv Aeron, F-91271 Verrieres Le Buisson, France</t>
  </si>
  <si>
    <t>UK Research &amp; Innovation (UKRI); Natural Environment Research Council (NERC); NERC British Antarctic Survey; University of Leeds; Centre National de la Recherche Scientifique (CNRS)</t>
  </si>
  <si>
    <t>British Antarctic Survey, NERC, Madingley Rd, Cambridge CB3 0ET, England.</t>
  </si>
  <si>
    <t>h.roscoe@bas.ac.uk</t>
  </si>
  <si>
    <t>Chipperfield, Martyn/H-6359-2013</t>
  </si>
  <si>
    <t>Chipperfield, Martyn/0000-0002-6803-4149</t>
  </si>
  <si>
    <t>0022-4073</t>
  </si>
  <si>
    <t>1879-1352</t>
  </si>
  <si>
    <t>J QUANT SPECTROSC RA</t>
  </si>
  <si>
    <t>J. Quant. Spectrosc. Radiat. Transf.</t>
  </si>
  <si>
    <t>10.1016/j.jqsrt.2004.07.030</t>
  </si>
  <si>
    <t>Optics; Spectroscopy</t>
  </si>
  <si>
    <t>893HK</t>
  </si>
  <si>
    <t>WOS:000226709700005</t>
  </si>
  <si>
    <t>Hillenbrand, CD; Baesler, A; Grobe, H</t>
  </si>
  <si>
    <t>The sedimentary record of the last glaciation in the western Bellingshausen Sea (West Antarctica): Implications for the interpretation of diamictons in a polar-marine setting</t>
  </si>
  <si>
    <t>Antarctica; Bellingshausen Sea; clay mineralogy; continental margin; debris flow; till</t>
  </si>
  <si>
    <t>GLACIGENIC DEBRIS FLOWS; PLEISTOCENE-HOLOCENE RETREAT; EASTERN WEDDELL SEA; ICE-SHEET SYSTEM; TROUGH MOUTH FAN; CONTINENTAL-SHELF; ROSS SEA; FORAMINIFERAL ASSEMBLAGES; SURFACE SEDIMENTS; ALEXANDER ISLAND</t>
  </si>
  <si>
    <t>Upper Quaternary marine sediments recovered from the West Antarctic continental margin are characterized by a distinct lithological succession allowing the reconstruction of past environmental changes. Massive, homogenous diamictons were deposited elsewhere on the margin during the last glacial period, when grounded ice masses advanced across the shelf. Sedimentological investigations using a multi-proxy approach and examination of the margin topography suggest that during this time a deformation till and subsequently a glaciomarine till were deposited on the shelf, while glaciogenic debris flows were deposited on the slope and rise. The comparison of the clay mineral assemblages in the matrix of the diamictons with clay mineral assemblages of potential source areas reveals distinct pathways of grounded ice flow on the shelf. Lithogenic sandy muds overlying the diamictons were deposited by meltwater flows and/or marine currents on the shelf, and by turbidity currents and marine currents on the slope and rise, respectively. The sedimentation of the sandy muds denotes a deglaciation stage, when grounded ice started to retreat from the shelf, but semi-permanent sea-ice coverage still hampered biological productivity. Bioturbated, foraminifer-bearing sediments were deposited in a glaciomarine setting during the present interglacial period, when sea-ice cover was only seasonally present and a marine current related to the southern boundary of the Antarctic Circumpolar Current winnowed the seafloor on the outer shelf, slope and rise. (c) 2005 Elsevier B.V. All rights reserved.</t>
  </si>
  <si>
    <t>British Antarctic Survey, Cambridge CB3 0ET, England;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</si>
  <si>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</si>
  <si>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British Antarctic Survey, High Cross,Madingley Rd, Cambridge CB3 0ET, England.</t>
  </si>
  <si>
    <t>hilc@bas.ac.uk</t>
  </si>
  <si>
    <t>Grobe, Hannes/0000-0002-4133-2218</t>
  </si>
  <si>
    <t>Natural Environment Research Council [NER/G/S/2002/00009] Funding Source: researchfish</t>
  </si>
  <si>
    <t>Natural Environment Research Council(UK Research &amp; Innovation (UKRI)Natural Environment Research Council (NERC))</t>
  </si>
  <si>
    <t>10.1016/j.margeo.2005.01.007</t>
  </si>
  <si>
    <t>925KD</t>
  </si>
  <si>
    <t>WOS:000229051100001</t>
  </si>
  <si>
    <t>Robert, C; Diester-Haass, L; Paturel, J</t>
  </si>
  <si>
    <t>Clay mineral assemblages, siliciclastic input and paleoproductivity at ODP Site 1085 off Southwest Africa: A late Miocene-early Pliocene history of Orange river discharges and Benguela current activity, and their relation to global sea level change</t>
  </si>
  <si>
    <t>clay minerals; siliciclastics; productivity; Benguela current; South Africa; late Miocene; sea level; climate</t>
  </si>
  <si>
    <t>MESSINIAN SALINITY CRISIS; DEEP-WATER CIRCULATION; WALVIS RIDGE; ISOTOPE STRATIGRAPHY; ATLANTIC; SEDIMENTATION; BASIN; SYSTEM; PROGRESSION; EVOLUTION</t>
  </si>
  <si>
    <t>A late Miocene to early Pliocene sequence drilled on the continental slope of southwest Africa off the Orange river mouth (ODP Site 1085) has been investigated. Clay mineral assemblages, coarse siliciclastics and benthic foraminifer accumulation rates (BEAR) unravel a step by step evolution of marine and continental environments closely related to sea level variations, ocean circulation and global climate: (1) smectite is a typical tracer of the Orange river load, whereas illite is mostly transported by the Benguela current (like chlorite) and winds, and kaolinite is derived from low latitudes by the poleward undercurrent and the North Atlantic Deep Water (NADW); (2) increased erosion and influence of the Orange river after 9.6 Ma is linked to a sea level drop at a time of Antarctic ice-growth. This has been followed by an increased seasonality of precipitation and high productivity, but low oxygen content and associated dissolution of carbonates; (3) increased productivity and dissolution of carbonates, and coeval increase of continental aridity after 8.9 Ma express a further development of the Benguela current and upwelling; (4) better preservation of carbonates and increased contribution of terrigenous material from northern sources at 6.9 Ma are related to increased circulation of NADW after an early stage of northern hemisphere glaciation; (5) increased erosion and contribution from the Orange river and westward shift of the area of higher productivity from 5.9-5.8 Ma to 5.3-5.2 Ma are related to a significant fall of sea level, and encompass the time of the entire Mediterranean salinity crisis; (6) short-term variations of the smectite/illite ratio (S/I) and BEAR suggest a major control of productivity by wind and current activities (and related upwelling), but may express brief variations of sea level in specific intervals before 8.9 Ma and during the late Messinian especially. (c) 2005 Elsevier B.V. All rights reserved.</t>
  </si>
  <si>
    <t>Univ Mediterranee, F-13545 Aix En Provence, France; Europole Arbois, CEREGE, F-13545 Aix En Provence, France; Univ Saarland, Zentrum Umweltforsch, D-66041 Saarbrucken, Germany; UMR 8110 Proc &amp; Bilans Domaines Sedimentaires, F-13288 Marseille, France; Ctr Oceanol Marseille, F-13288 Marseille, France; Univ Trier, Trier, Germany</t>
  </si>
  <si>
    <t>Aix-Marseille Universite; Aix-Marseille Universite; Saarland University; Universitat Trier</t>
  </si>
  <si>
    <t>Univ Mediterranee, BP 80, F-13545 Aix En Provence, France.</t>
  </si>
  <si>
    <t>robert@cerege.fr</t>
  </si>
  <si>
    <t>Robert, Christian/AAL-2415-2020</t>
  </si>
  <si>
    <t>Robert, Christian/0000-0001-6635-3261; ROBERT, Christian/0000-0003-1324-1295</t>
  </si>
  <si>
    <t>10.1016/j.margeo.2005.02.024</t>
  </si>
  <si>
    <t>WOS:000229051100003</t>
  </si>
  <si>
    <t>Rouault, M; Melice, JL; Reason, CJC; Lutijeharms, JRE</t>
  </si>
  <si>
    <t>Climate variability at Marion Island, Southern Ocean, since 1960</t>
  </si>
  <si>
    <t>LOW-FREQUENCY VARIABILITY; EXTRATROPICAL CIRCULATION; SEMIANNUAL OSCILLATION; ANTARCTIC OSCILLATION; ANNULAR MODES; ANNUAL CYCLE; SEA-ICE; HEMISPHERE; TRENDS; NCEP</t>
  </si>
  <si>
    <t>[1] In recent decades, instrumental data recorded at the South African Weather Service station on Marion Island ( 46 degrees 54'S and 37 degrees 51'E) in the Southern Ocean shows that the local climate of this island has undergone significant changes since the 1960s, mostly in austral summer. These include a decrease in rainfall, an increase in nonrainy days, changes in wind speed and direction, and an increase in maximum and minimum local air temperature and in nearshore sea surface temperature. This study analyzes surface temperature, pressure, sea surface temperature, and rainfall recorded daily at Marion Island together with NCEP reanalyses to explore the mechanisms potentially associated with these changes. It is suggested that the changes to the local climate of Marion Island are linked to the well-documented shift in phase of the semiannual oscillation in the Southern Hemisphere after about 1980.</t>
  </si>
  <si>
    <t>Univ Cape Town, Dept Oceanog, ZA-7700 Rondebosch, South Africa; IRD, Lab Oceanog Dynam &amp; Climatol, F-75252 Paris, France</t>
  </si>
  <si>
    <t>University of Cape Town; Institut de Recherche pour le Developpement (IRD)</t>
  </si>
  <si>
    <t>Rouault, M (corresponding author), Univ Cape Town, Dept Oceanog, ZA-7700 Rondebosch, South Africa.</t>
  </si>
  <si>
    <t>rouault@ocean.uct.ac.za; jmelice@ocean.uct.ac.za; cjr@egs.uct.ac.za; johann@ocean.uct.ac.za</t>
  </si>
  <si>
    <t>Rouault, Mathieu/A-5022-2008</t>
  </si>
  <si>
    <t>Rouault, Mathieu/0000-0002-3207-6777</t>
  </si>
  <si>
    <t>MAY 14</t>
  </si>
  <si>
    <t>C5</t>
  </si>
  <si>
    <t>C05007</t>
  </si>
  <si>
    <t>10.1029/2004JC002492</t>
  </si>
  <si>
    <t>927QS</t>
  </si>
  <si>
    <t>WOS:000229212300003</t>
  </si>
  <si>
    <t>Mahesh, A; Campbell, JR; Spinhirne, JD</t>
  </si>
  <si>
    <t>Multi-year measurements of cloud base heights at South Pole by lidar</t>
  </si>
  <si>
    <t>ANTARCTIC PLATEAU; MICROPULSE LIDAR; RADIATION; NETWORK; CLIMATE</t>
  </si>
  <si>
    <t>The Micropulse Lidar Network has operated a full-time lidar measurement program at South Pole Station since 2000. Observations from this instrument are an important multi-year record of clouds over the Antarctic plateau. Earlier South Pole observations relied mostly on passive measurements to characterize clouds; the lidar's active profiles present an opportunity to validate current understanding of Antarctic clouds, as well as study properties that are not adequately captured in passive measurements. Lidar observations show clouds to be present roughly 40 percent of the time, and often appearing in wind-swept layers immediately above ground-based scattering layers such as blowing snow and suspended ice particles. There is very little indication of seasonal variability in cloud base heights; this contradicts earlier observations from an interferometer made in 1992 when it was determined that the distribution of cloud base heights in the summer months was different from that seen at other times. Those observations had also indicated that cloud base heights over the high plateau are distributed bimodally, with many near-surface clouds, and a second mode of other clouds well above the surface - based inversion. The lidar observations, however, suggest that this may be true only of the optically thicker clouds and even then only in the spring.</t>
  </si>
  <si>
    <t>NASA, Goddard Space Flight Ctr, Greenbelt, MD 20771 USA; Univ Maryland Baltimore Cty, Goddard Earth Sci &amp; Technol Ctr, Baltimore, MD 21228 USA; Univ Alaska, Inst Geophys, Fairbanks, AK 99775 USA</t>
  </si>
  <si>
    <t>National Aeronautics &amp; Space Administration (NASA); NASA Goddard Space Flight Center; University System of Maryland; University of Maryland Baltimore County; National Aeronautics &amp; Space Administration (NASA); NASA Goddard Space Flight Center; University of Alaska System; University of Alaska Fairbanks</t>
  </si>
  <si>
    <t>Mahesh, A (corresponding author), NASA, Goddard Space Flight Ctr, Code 912, Greenbelt, MD 20771 USA.</t>
  </si>
  <si>
    <t>mahesh@agnes.gsfc.nasa.gov</t>
  </si>
  <si>
    <t>Spinhirne, James D/D-2541-2011; Campbell, James R/C-4884-2012</t>
  </si>
  <si>
    <t>Campbell, James/0000-0003-0251-4550</t>
  </si>
  <si>
    <t>MAY 13</t>
  </si>
  <si>
    <t>L09812</t>
  </si>
  <si>
    <t>10.1029/2004GL021983</t>
  </si>
  <si>
    <t>927QK</t>
  </si>
  <si>
    <t>WOS:000229211200001</t>
  </si>
  <si>
    <t>Armstrong, HA; Turner, BR; Makhlouf, IM; Weedon, GP; Williams, M; Al Smadi, A; Abu Salah, A</t>
  </si>
  <si>
    <t>Origin, sequence stratigraphy and depositional environment of an upper ordovician (Himantian) deglacial black shale, Jordan</t>
  </si>
  <si>
    <t>himantian; black shale; sequence stratigraphy; depositional models; Jordan</t>
  </si>
  <si>
    <t>SILURIAN BOUNDARY; ISOTOPIC EVIDENCE; GLACIAL DEPOSITS; ORGANIC-MATTER; CARBON; SEA; SEDIMENTS; MODEL; PERSPECTIVES; INSOLATION</t>
  </si>
  <si>
    <t>The upper Ordovician succession of Jordan was located similar to 60 degrees S, less than 100 km from the Hirnantian ice sheet margin. New graptolite dates indicate glaciation ended in Jordan in the late Hirnantian (persculptus Biozone). The succession records two glacial advances within the Ammar Formation and the subsequent deglaciations. Organic-rich black shales (Batra Formation) form part of the final deglacial transgressive succession that in-filled an existing low stand glacial continental shelf topography. The base of the black shale is coincident with the maximum flooding surface. During transgression, interfluves and sub-basin margins were breached and black shale deposition expanded rapidly across the region. The top of the black shales coincides with peak highstand. The expanding puddle model (sensu Wignall) for black shale deposition, adapted for the peri-glacial setting, provides the best explanation for this sequence of events. We propose a hypothesis in which anoxic conditions were initiated beneath the halocline in a salinity stratified water column; a fresher surface layer resulted from ice meltwater generated during early deglaciation. During the initial stages of marine incursion, nutrients in the monimolimnion were isolated from the euphotic zone by the halocline. Increasing total organic carbon (TOC) and delta C-13(org) up section indicates the organic carbon content of the shales was controlled mainly by increasing bioproductivity in the mixolimnion (the Strakhov model). Mixolimnion nutrient levels were sustained by a continual and increasing supply of meltwater-derived nutrients, modulated by obliquity changes in high latitude insolation. Anoxia was sustained over tens to hundreds of thousands of years. The formation of black shales on the north Gondwana shelf was little different to those observed in modem black shale environments, suggesting that it was the nature of the Ordovician seas that pre-disposed them to anoxia. (c) 2005 Elsevier B.V. All rights reserved.</t>
  </si>
  <si>
    <t>Univ Durham, Sci Labs, Dept Earth Sci, Durham, England; Hashemite Univ, Dept Earth &amp; Environm Sci, Zarqa, Jordan; British Antarctic Survey, Swansea SA2 8PP, W Glam, Wales; Natl Resources Author, Amman 11118, Jordan</t>
  </si>
  <si>
    <t>Durham University; Hashemite University; UK Research &amp; Innovation (UKRI); Natural Environment Research Council (NERC); NERC British Antarctic Survey</t>
  </si>
  <si>
    <t>Univ Durham, Sci Labs, Dept Earth Sci, Durham, England.</t>
  </si>
  <si>
    <t>h.a.armstrong@durham.ac.uk</t>
  </si>
  <si>
    <t>Smadi, Ahmad/E-3168-2013; Weedon, Graham P./B-7574-2008; Weedon, Graham/JCE-1078-2023; Williams, Mark/B-7590-2009</t>
  </si>
  <si>
    <t>Weedon, Graham P./0000-0003-1262-9984; Williams, Mark/0000-0002-7987-6069</t>
  </si>
  <si>
    <t>10.1016/j.palaeo.2005.01.007</t>
  </si>
  <si>
    <t>926ZR</t>
  </si>
  <si>
    <t>WOS:000229162700004</t>
  </si>
  <si>
    <t>Jaccard, SL; Haug, GH; Sigman, DM; Pedersen, TF; Thierstein, HR; Röhl, U</t>
  </si>
  <si>
    <t>Glacial/interglacial changes in subarctic North Pacific stratification</t>
  </si>
  <si>
    <t>ATMOSPHERIC CO2; SOUTHERN-OCEAN; EXPORT PRODUCTION; ATLANTIC SECTOR; CLIMATE; PRODUCTIVITY; RECORDS; WATER; OPAL; ICE</t>
  </si>
  <si>
    <t>Since the first evidence of low algal productivity during ice ages in the Antarctic Zone of the Southern Ocean was discovered, there has been debate as to whether it was associated with increased polar ocean stratification or with sea-ice cover, shortening the productive season. The sediment concentration of biogenic barium at Ocean Drilling Program site 882 indicates low algal productivity during ice ages in the Subarctic North Pacific as well. Site 882 is located southeast of the summer sea-ice extent even during glacial maxima, ruling out sea-ice-driven light limitation and supporting stratification as the explanation, with implications for the glacial cycles of atmospheric carbon dioxide concentration.</t>
  </si>
  <si>
    <t>ETH Zentrum, Dept Earth Sci, CH-8092 Zurich, Switzerland; Geoforschungszentrum Potsdam, D-14473 Potsdam, Germany; Princeton Univ, Dept Geosci, Princeton, NJ 08544 USA; Univ Victoria, Sch Earth &amp; Ocean Sci, Victoria, BC, Canada; Univ Bremen, DFG Res Ctr Ocean Margins, Bremen, Germany</t>
  </si>
  <si>
    <t>Swiss Federal Institutes of Technology Domain; ETH Zurich; Helmholtz Association; Helmholtz-Center Potsdam GFZ German Research Center for Geosciences; Princeton University; University of Victoria; German Research Foundation (DFG); University of Bremen</t>
  </si>
  <si>
    <t>ETH Zentrum, Dept Earth Sci, Sonneggstr 5, CH-8092 Zurich, Switzerland.</t>
  </si>
  <si>
    <t>jaccard@erdw.ethz.ch</t>
  </si>
  <si>
    <t>Jaccard, Samuel/G-3447-2014; Sigman, Daniel M./IYJ-2613-2023; Röhl, Ursula/G-5986-2011; Jaccard, Samuel/IZP-9669-2023; Sigman, Daniel M./A-2649-2008</t>
  </si>
  <si>
    <t>Jaccard, Samuel/0000-0002-5793-0896; Röhl, Ursula/0000-0001-9469-7053; Sigman, Daniel M./0000-0002-7923-1973</t>
  </si>
  <si>
    <t>10.1126/science.1108696</t>
  </si>
  <si>
    <t>927JR</t>
  </si>
  <si>
    <t>WOS:000229190700041</t>
  </si>
  <si>
    <t>Jenouvrier, S; Weimerskirch, H; Barbraud, C; Park, YH; Cazelles, B</t>
  </si>
  <si>
    <t>Evidence of a shift in the cyclicity of Antarctic seabird dynamics linked to climate</t>
  </si>
  <si>
    <t>climate change; cyclic variability; regime shift; Antarctic marine predators; time-series analysis</t>
  </si>
  <si>
    <t>SEA-ICE EXTENT; POPULATION-DYNAMICS; EMPEROR PENGUINS; OCEAN CLIMATE; APTENODYTES-FORSTERI; REGIME SHIFTS; INDIAN-OCEAN; TOP PREDATOR; ADELIE LAND; PETREL</t>
  </si>
  <si>
    <t>Ecosystems and populations are known to be influenced not only by long-term climatic trends, but also by other short-term climatic modes, such as interannual and decadal-scale variabilities. Because interactions between climatic forcing, biotic and abiotic components of ecosystems are subtle and complex, analysis of long-term series of both biological and physical factors is essential to understanding these interactions. Here, we apply a wavelet analysis simultaneously to long-term datasets on the environment and on the populations and breeding success of three Antarctic seabirds (southern fulmar, snow petrel, emperor penguin) breeding in Terre Adelie, to study the effects of climate fluctuations on Antarctic marine ecosystems. We show that over the past 40 years, populations and demographic parameters of the three species fluctuate with a periodicity of 3-5 years that was also detected in sea-ice extent and the Southern Oscillation Index. Although the major periodicity of these interannual fluctuations is not common to different species and environmental variables, their cyclic characteristics reveal a significant change since 1980. Moreover, sliding-correlation analysis highlighted the relationships between environmental variables and the demography of the three species, with important change of correlation occurring between the end of the 1970s and the beginning of the 1980s. These results suggest that a regime shift has probably occurred during this period, significantly affecting the Antarctic ecosystem, but with contrasted effects on the three species.</t>
  </si>
  <si>
    <t>CNRS, Ctr Etud Biol Chize, F-79360 Villiers En Bois, France; UR Theis, IRD, F-97492 St Clotilde, Reunion, France; Museum Natl Hist Nat, USM 0402, Dept Milieux &amp; Peuplements Aquat, F-75231 Paris, France; Ecole Normale Super, CNRS, UMR 7625, F-75230 Paris, France; GEODES, UR, IRD, F-93143 Bondy, France</t>
  </si>
  <si>
    <t>Centre National de la Recherche Scientifique (CNRS); Institut de Recherche pour le Developpement (IRD); Museum National d'Histoire Naturelle (MNHN); Universite PSL; Ecole Normale Superieure (ENS); Sorbonne Universite; Centre National de la Recherche Scientifique (CNRS); Institut de Recherche pour le Developpement (IRD)</t>
  </si>
  <si>
    <t>CNRS, Ctr Etud Biol Chize, F-79360 Villiers En Bois, France.</t>
  </si>
  <si>
    <t>jenouvrier@cebc.cnrs.fr</t>
  </si>
  <si>
    <t>Weimerskirch, Henri/F-5562-2013; Cazelles, Bernard/B-1572-2013; Weimerskirch, Henri/K-7306-2019; Barbraud, Christophe/A-5870-2012</t>
  </si>
  <si>
    <t>Cazelles, Bernard/0000-0002-7972-361X; Weimerskirch, Henri/0000-0002-0457-586X; Barbraud, Christophe/0000-0003-0146-212X; jenouvrier, stephanie/0000-0003-3324-2383</t>
  </si>
  <si>
    <t>MAY 7</t>
  </si>
  <si>
    <t>10.1098/rspb.2004.2978</t>
  </si>
  <si>
    <t>937MU</t>
  </si>
  <si>
    <t>WOS:000229929300002</t>
  </si>
  <si>
    <t>McMahon, CR; Burton, HR</t>
  </si>
  <si>
    <t>Climate change and seal survival:: evidence for environmentally mediated changes in elephant seal, Mirounga leonina, pup survival</t>
  </si>
  <si>
    <t>environmental variability; survival; maternal investment</t>
  </si>
  <si>
    <t>ANTARCTIC CIRCUMPOLAR CURRENT; SOUTHERN-OCEAN; MACQUARIE ISLAND; EL-NINO; WATER TEMPERATURE; FORAGING AREAS; WEANING MASS; ICE EXTENT; ROSS SEA; OSCILLATION</t>
  </si>
  <si>
    <t>Maternal and physical factors play a significant role in animal life-history variability, which means that large scale climate change has the potential to affect the size and dynamics of animal populations indirectly through maternal investment and directly through conditions that animals are exposed to. However, little is known about the effects of large-scale oceanographic events such as the El-Nino southern oscillation (ENSO) that influence productivity in the Southern Ocean and the abundance, quality and distribution of prey. The possible mechanisms by which physical factors and primary productivity could influence life-history traits, such as survival of apex predators, includes direct influences such as food availability and foraging success and indirect influences such as stored maternal investment and resource transfer during lactation. Here, we quantify the relative contribution of maternal investment and climate conditions at remote foraging sites to survival in the first year of life for southern elephant seals. We present evidence linking climate (ENSO) and variations in a key demographic parameter-first-year survival-and demonstrate that survival was highest during ENSO events and that the ability of mothers to store and acquire resources, which is typically related to ocean productivity, is the most important determinant of survival in the first year. This functional link provides valuable insights that can be used to model the responses of the seal populations to climate change scenarios.</t>
  </si>
  <si>
    <t>Australian Antarctic Div, Kingston, Tas 7050, Australia; Univ Tasmania, Sch Zool, Antarctic Wildlife Res Unit, Hobart, Tas 7001, Australia</t>
  </si>
  <si>
    <t>Australian Antarctic Division; University of Tasmania</t>
  </si>
  <si>
    <t>McMahon, CR (corresponding author), Univ Coll Swansea, Inst Environm Sustainabil, Sch Biol Sci, Singleton Pk, Swansea SA2 8PP, W Glam, Wales.</t>
  </si>
  <si>
    <t>c.r.mcmahon@swansea.ac.uk</t>
  </si>
  <si>
    <t>McMahon, Clive R/D-5713-2013</t>
  </si>
  <si>
    <t>McMahon, Clive R/0000-0001-5241-8917</t>
  </si>
  <si>
    <t>ROYAL SOCIETY</t>
  </si>
  <si>
    <t>Proc. R. Soc. Lond. Ser. B-Biol. Sci.</t>
  </si>
  <si>
    <t>10.1098/rspb.2004.3038</t>
  </si>
  <si>
    <t>WOS:000229929300007</t>
  </si>
  <si>
    <t>Siskind, DE; Coy, L; Espy, P</t>
  </si>
  <si>
    <t>Observations of stratospheric warmings and mesospheric coolings by the TIMED SABER instrument</t>
  </si>
  <si>
    <t>TEMPERATURE; THERMOSPHERE</t>
  </si>
  <si>
    <t>We used temperature data from the Sounding of the Atmosphere with Broadband Emission Radiometry (SABER) on the the NASA TIMED satellite to quantify the connection between temperatures in the stratosphere and in the mesosphere and lower thermosphere. Specifically, we studied three winter periods where stratospheric temperatures were dynamically disturbed: February 2002, August, 2002, and February 2003. The SABER temperatures show a clear signature of mesospheric coolings in concert with stratospheric warmings. Mesospheric temperatures between 0.7 hPa and 0.01 hPa show a significant anticorrelation with stratospheric temperatures. For pressures &lt; 0.01 hPa, this anticorrelation breaks down, in disagreement with recent model results from a thermosphere-ionosphere-mesosphere general circulation model that suggest mesospheric coolings persist up to 110 km. Also, the lack of a clear correlation between stratospheric temperatures and those at 83 - 90 km suggests that measurements of the OH Meinel band temperatures at those altitudes may not be representative of the entire mesosphere.</t>
  </si>
  <si>
    <t>USN, Res Lab, EO Hulburt Ctr Space Res, Washington, DC 20375 USA; British Antarctic Survey, NERC, Div Phys Sci, Cambridge CB3 0ET, England</t>
  </si>
  <si>
    <t>United States Department of Defense; United States Navy; Naval Research Laboratory; UK Research &amp; Innovation (UKRI); Natural Environment Research Council (NERC); NERC British Antarctic Survey</t>
  </si>
  <si>
    <t>Siskind, DE (corresponding author), USN, Res Lab, EO Hulburt Ctr Space Res, Code 7640,4555 Overlook Ave SW, Washington, DC 20375 USA.</t>
  </si>
  <si>
    <t>siskind@uap2.nrl.navy.mil</t>
  </si>
  <si>
    <t>Siskind, David/GOK-1398-2022</t>
  </si>
  <si>
    <t>Coy, Lawrence/0000-0002-0414-0882</t>
  </si>
  <si>
    <t>MAY 6</t>
  </si>
  <si>
    <t>L09804</t>
  </si>
  <si>
    <t>10.1029/2005GL022399</t>
  </si>
  <si>
    <t>926TG</t>
  </si>
  <si>
    <t>WOS:000229145200005</t>
  </si>
  <si>
    <t>Diettrich, JC; Nott, GJ; Espy, PJ; Swenson, GR; Chu, X; Taylor, MJ; Riggin, DM; Fritts, DC</t>
  </si>
  <si>
    <t>High frequency atmospheric gravity-wave properties using Fe-lidar and OH-imager observations</t>
  </si>
  <si>
    <t>MESOSPHERE</t>
  </si>
  <si>
    <t>Simultaneous iron resonance lidar density profiles, OH intensity images and MF-radar wind measurements have been used to determine the horizontal and vertical components of high-frequency (double left arrow similar to 1 hour) atmospheric gravity waves (AGW). Previous investigations predicted that AGW information from lidars and imagers could only be combined over a limited range. Here, a novel approach to increasing the utility of the simultaneous lidar and OH imager measurement are presented. By temporally high-pass filtering each altitude-bin of the lidar profiles, the vertical wavelengths of AGW typically observed with the OH imager become apparent. Measured OH imager horizontal wavelengths were converted into vertical wavelengths using the dispersion relationship and background winds, showing that the instruments were able to observe the same waves. Hence, the lidar-imager combination is able to access the intrinsic wave components to allow investigation of AGW propagation and an assessment of the chemical waves effects on minor species chemistry.</t>
  </si>
  <si>
    <t>British Antarctic Survey, Cambridge CB3 0ET, England; Univ Illinois, Dept Elect &amp; Comp Engn, Urbana, IL 61801 USA; Utah State Univ, Space Dynam Lab, Logan, UT 84322 USA; Utah State Univ, Dept Phys, Logan, UT 84322 USA; Colorado Res Associates, Boulder, CO 80301 USA</t>
  </si>
  <si>
    <t>UK Research &amp; Innovation (UKRI); Natural Environment Research Council (NERC); NERC British Antarctic Survey; University of Illinois System; University of Illinois Urbana-Champaign; Utah System of Higher Education; Utah State University; Utah System of Higher Education; Utah State University</t>
  </si>
  <si>
    <t>jadi@bas.ac.uk</t>
  </si>
  <si>
    <t>Chu, Xinzhao/I-5670-2015</t>
  </si>
  <si>
    <t>MAY 5</t>
  </si>
  <si>
    <t>L09801</t>
  </si>
  <si>
    <t>10.1029/2004GL021944</t>
  </si>
  <si>
    <t>926TF</t>
  </si>
  <si>
    <t>WOS:000229145100001</t>
  </si>
  <si>
    <t>Rickaby, REM; Elderfield, H</t>
  </si>
  <si>
    <t>Evidence from the high-latitude North Atlantic for variations in Antarctic Intermediate water flow during the last deglaciation</t>
  </si>
  <si>
    <t>circulation; deglaciation; paleoceanography; proxy; paleoceanography : general or miscellaneous; oceanography : biological and chemical : chemical tracers; oceanography : biological and chemical : nutrients and nutrient cycling</t>
  </si>
  <si>
    <t>DEEP-SEA CORALS; SOUTHERN-OCEAN; THERMOHALINE CIRCULATION; GLACIAL PERIOD; CARBON-ISOTOPE; AGE CALIBRATION; BIPOLAR SEESAW; CLIMATE-CHANGE; ICE; HEMISPHERE</t>
  </si>
  <si>
    <t>[1] We present evidence that the characteristic chemical signature ( based on coupled benthic foraminiferal Cd/Ca and delta C-13) of Antarctic Intermediate waters (AAIW) penetrated throughout the intermediate depths of the Atlantic basin to the high-latitude North Atlantic during the abrupt cooling events of the last deglaciation: Heinrich 1 and the Younger Dryas. AAIW may play the dynamic counterpart to the bipolar seesaw'' when near-freezing salty bottom waters from the Antarctic (AABW) sluggishly ventilate the deep ocean. Our data reinforce the concept that interglacial circulation is stabilized by salinity feedbacks between salty northern sourced deep waters (NADW) and fresh southern sourced waters ( AABW and AAIW). Further, the glacial ocean may be susceptible to the more finely balanced relative densities of NADW and AAIW, due to either freshwater input or a reversal of the salinity gradient, such that the ocean is poised for NADW collapse via a negative salinity feedback. The unstable climate of the glacial period and its termination may arise from the closer competition for ubiquity at intermediate depths between northern and southern sourced intermediate waters.</t>
  </si>
  <si>
    <t>Univ Oxford, Dept Earth Sci, Oxford OX1 3PR, England; Univ Cambridge, Dept Earth Sci, Cambridge CB2 3EQ, England</t>
  </si>
  <si>
    <t>University of Oxford; University of Cambridge</t>
  </si>
  <si>
    <t>Univ Oxford, Dept Earth Sci, Parks Rd, Oxford OX1 3PR, England.</t>
  </si>
  <si>
    <t>rosalind.rickaby@earth.ox.ac.uk</t>
  </si>
  <si>
    <t>Rickaby, Rosalind/0000-0002-6095-8419</t>
  </si>
  <si>
    <t>Natural Environment Research Council [NER/T/S/2002/00436] Funding Source: researchfish</t>
  </si>
  <si>
    <t>MAY 3</t>
  </si>
  <si>
    <t>Q05001</t>
  </si>
  <si>
    <t>10.1029/2004GC000858</t>
  </si>
  <si>
    <t>926TC</t>
  </si>
  <si>
    <t>WOS:000229144800001</t>
  </si>
  <si>
    <t>Nishioka, J; Takeda, S; de Baar, HJW; Croot, PL; Boye, M; Laan, P; Timmermans, KR</t>
  </si>
  <si>
    <t>Changes in the concentration of iron in different size fractions during an iron enrichment experiment in the open Southern Ocean</t>
  </si>
  <si>
    <t>MARINE CHEMISTRY</t>
  </si>
  <si>
    <t>Southern Ocean; iron enrichment experiment; size-fractionated iron; iron speciation</t>
  </si>
  <si>
    <t>EQUATORIAL PACIFIC-OCEAN; NATURAL ORGANIC-LIGANDS; SMALL COLLOIDAL IRON; PHYTOPLANKTON BLOOM; MARINE-PHYTOPLANKTON; COMPLEXING LIGANDS; KINETIC APPROACH; DISSOLVED IRON; ATLANTIC-OCEAN; NORTH PACIFIC</t>
  </si>
  <si>
    <t>An in situ iron enrichment experiment was carried out in the Southern Ocean Polar Frontal Zone and fertilized a patch of water within an eddy of the Antarctic Circumpolar Current (EisenEx, Nov. 2000). During the experiment, a physical speciation technique was used for iron analysis in order to understand the changes in iron distribution and size-fractionations, including soluble Fe (&lt; 200 kDa), colloidal Fe (200 kDa-0.2 mu m) and labile particle Fe (&gt; 0.2 mu m), throughout the development of the phytoplankton bloom. Prior to the first infusion of iron, dissolved (&lt; 0.2 mu m) iron concentrations in the ambient surface seawater were extremely low (0.06 +/- 0.015 nM) with colloidal iron being a minor fraction. For the iron addition, an acidified FeSO4 solution was released three times over a 23-day period to the eddy. High levels of dissolved iron concentrations (2.0 +/- 1.1 nM) were measured in the surface water until 4 days after the first iron infusion. After every iron infusion, when high iron concentrations were observed before storm events, there was a significant correlation between colloidal and dissolved iron concentrations ([Colloidal Fe]=0.7627 [Dissolved Fe]+0.0519, R-2=0.9346). These results indicate that a roughly constant proportion of colloidal vs. dissolved iron was observed after iron infusion (similar to 76%). Storm events caused a significant decrease in iron concentrations (&lt; 0.61 nM in dissolved iron) and changed the proportions of the three iron size-fractions (soluble, colloidal and labile particle). The changes in each iron size-fraction indicate that colloidal iron was eliminated from surface mixed layer more easily than particulate and soluble fractions. Therefore, particle and soluble iron efficiently remain in the mixed layer, probably due to the presence of suspended particles and naturally dissolved organic ligands. Our data suggest that iron removal through colloidal aggregation during phytoplankton bloom should be considered in the oceanic iron cycle. (c) 2004 Elsevier B.V. All rights reserved.</t>
  </si>
  <si>
    <t>Cent Res Inst Elect Power Ind, Abiko, Chiba 2701194, Japan; Univ Tokyo, Dept Aquat Biosci, Bunkyo Ku, Tokyo 1138657, Japan; Royal Netherlands Inst Sea Res, NL-1790 AB Den Burg, Netherlands; Univ Kiel, Inst Meereskunde, D-24105 Kiel, Germany</t>
  </si>
  <si>
    <t>Central Research Institute of Electric Power Industry - Japan; University of Tokyo; Utrecht University; Royal Netherlands Institute for Sea Research (NIOZ); University of Kiel</t>
  </si>
  <si>
    <t>Nishioka, J (corresponding author), Cent Res Inst Elect Power Ind, 1646 Abiko, Abiko, Chiba 2701194, Japan.</t>
  </si>
  <si>
    <t>nishioka@criepi.denken.or.jp</t>
  </si>
  <si>
    <t>Croot, Peter/C-8460-2009; Croot, Peter/U-5296-2019; Nishioka, Jun/F-5314-2011</t>
  </si>
  <si>
    <t>Croot, Peter/0000-0003-1396-0601; Nishioka, Jun/0000-0003-1723-9344; timmermans, klaas/0000-0002-3214-4354</t>
  </si>
  <si>
    <t>0304-4203</t>
  </si>
  <si>
    <t>MAR CHEM</t>
  </si>
  <si>
    <t>Mar. Chem.</t>
  </si>
  <si>
    <t>MAY 2</t>
  </si>
  <si>
    <t>10.1016/j.marchem.2004.06.040</t>
  </si>
  <si>
    <t>Chemistry, Multidisciplinary; Oceanography</t>
  </si>
  <si>
    <t>Chemistry; Oceanography</t>
  </si>
  <si>
    <t>932CK</t>
  </si>
  <si>
    <t>WOS:000229531600004</t>
  </si>
  <si>
    <t>Schmidt, LL; Wood, JA; Lugg, DJ</t>
  </si>
  <si>
    <t>Gender differences in leader and follower perceptions of social support in Antarctica</t>
  </si>
  <si>
    <t>ACTA ASTRONAUTICA</t>
  </si>
  <si>
    <t>14th IAA Humans in Space Symposium</t>
  </si>
  <si>
    <t>MAY, 2003</t>
  </si>
  <si>
    <t>Banff, CANADA</t>
  </si>
  <si>
    <t>WORK-GROUP DIVERSITY; PERFORMANCE; QUALITY</t>
  </si>
  <si>
    <t>The purpose of this study was to methodologically explore the links among social support, gender, age, prior experience, leader/follower status, and leadership effectiveness noted in previous accounts from Antarctic stations. Data for this study were collected from volunteers involved in Australian National Antarctic Research Expeditions conducted from 1996 to 2001. Multilevel analysis revealed that most of the variance in perceptions of social support was at the individual level (71%). Perceptions of social support had less variance at the group level (29%) and little variance at the weekly level. At the group level, the explanatory variables we examined included leadership effectiveness, gender similarity, and age similarity. At the individual level, the explanatory variables we examined included age, gender, prior experience, and leader/follower status. An interaction between gender and leader/follower status contributed to a significant model of variation in perceptions of social support. (c) 2005 Published by Elsevier Ltd.</t>
  </si>
  <si>
    <t>Wyle Labs, Houston, TX USA; Baylor Coll Med, Houston, TX 77030 USA; Australian Antarctic Div, Hobart, Tas, Australia</t>
  </si>
  <si>
    <t>Baylor College of Medicine; Australian Antarctic Division</t>
  </si>
  <si>
    <t>NASA, Lyndon B Johnson Space Ctr, Biobehav Lab SK272, Nasa Rd 1, Houston, TX 77058 USA.</t>
  </si>
  <si>
    <t>jwood@ems.jsc.nasa.gov</t>
  </si>
  <si>
    <t>Schmidt, Lacey/0000-0002-2639-949X</t>
  </si>
  <si>
    <t>0094-5765</t>
  </si>
  <si>
    <t>1879-2030</t>
  </si>
  <si>
    <t>ACTA ASTRONAUT</t>
  </si>
  <si>
    <t>Acta Astronaut.</t>
  </si>
  <si>
    <t>MAY-JUN</t>
  </si>
  <si>
    <t>9-12</t>
  </si>
  <si>
    <t>10.1016/j.actaastro.2005.01.019</t>
  </si>
  <si>
    <t>Engineering, Aerospace</t>
  </si>
  <si>
    <t>925PA</t>
  </si>
  <si>
    <t>WOS:000229063800019</t>
  </si>
  <si>
    <t>Tao, JK; Ju, YT; Liu, XH; Li, JY</t>
  </si>
  <si>
    <t>Studies on chondrites and minerals of the three (L3) meteorites.</t>
  </si>
  <si>
    <t>ACTA PETROLOGICA SINICA</t>
  </si>
  <si>
    <t>Chinese</t>
  </si>
  <si>
    <t>antarctica meteorites L (3) ordinarychondrites porphyritic radialpyroxene granular olivine-pyroxene barred olivine; cryptocrytstalline olivine-pyroxene</t>
  </si>
  <si>
    <t>Three of a total of Six(L3)ordinary chondrites have been collected for second time from the Grove Mountains of East Antarctica, during the 16th Chinese National Antarctic Research Expedition in 1999 - 2000 austral season. GRV99001 - 13. 4, GRV99019 - D. 6, GRV99026 - 13. 5. There are difference for the chondritic and minerals of the three meteorites. Chondrites of three meteorites are porphyritic olivine-pyroxene porphyritic olivine,porphyritic pyroxene;barred olivine; radial pyroxene;granular olivine-pyroxene; cryptoertstalline olivine-pyroxene, cryptocrystalline-websterite bunt their chondrules are different. GRV 99001 meteorite is characteristic of Porphyritic olivine, barred olivine -feldspar and radial pyroxene-olivine-feldspar. GRV 99019 meteorite is characteristic of radial pyroxene and porphyritic olivine. GRV 99026 meteorite is characteristic of porphyritic pyroxene-olivinc -glass, cryptocrystalline pyroxene-olivine and cryptocrystalline-websterite. The crystalline more grade, the MgO the olivine and pyroxene of three meteorites are.</t>
  </si>
  <si>
    <t>Chinese Acad Sci, Inst Geol &amp; Geophys, Beijing 100029, Peoples R China</t>
  </si>
  <si>
    <t>Chinese Academy of Sciences; Institute of Geology &amp; Geophysics, CAS</t>
  </si>
  <si>
    <t>Tao, JK (corresponding author), Chinese Acad Sci, Inst Geol &amp; Geophys, Beijing 100029, Peoples R China.</t>
  </si>
  <si>
    <t>SCIENCE PRESS</t>
  </si>
  <si>
    <t>BEIJING</t>
  </si>
  <si>
    <t>16 DONGHUANGCHENGGEN NORTH ST, BEIJING 100717, PEOPLES R CHINA</t>
  </si>
  <si>
    <t>1000-0569</t>
  </si>
  <si>
    <t>ACTA PETROL SIN</t>
  </si>
  <si>
    <t>Acta Petrol. Sin.</t>
  </si>
  <si>
    <t>MAY</t>
  </si>
  <si>
    <t>954TY</t>
  </si>
  <si>
    <t>WOS:000231179000040</t>
  </si>
  <si>
    <t>Comparison of Hsc70 orthologs from polar and temperate notothenioid fishes: differences in prevention of aggregation and refolding of denatured proteins</t>
  </si>
  <si>
    <t>AMERICAN JOURNAL OF PHYSIOLOGY-REGULATORY INTEGRATIVE AND COMPARATIVE PHYSIOLOGY</t>
  </si>
  <si>
    <t>Antarctica; molecular chaperones; cold adaptation; notothenioids; protein refolding</t>
  </si>
  <si>
    <t>MOLECULAR CHAPERONE HSC70; HEAT-SHOCK-PROTEIN; ANTARCTIC FISHES; ATPASE ACTIVITY; UNFOLDED PROTEINS; COLD DENATURATION; SUBSTRATE-BINDING; COGNATE PROTEIN; DNAK; HSP70</t>
  </si>
  <si>
    <t>Although a great deal is known about the cellular function of molecular chaperones in general, very little is known about the effect of temperature selection on the function of molecular chaperones in nonmodel organisms. One major unanswered question is whether orthologous variants of a molecular chaperone from differential thermally adapted species vary in their thermal responses. To address this issue, we utilized a comparative approach to examine the temperature interactions of a major cytosolic molecular chaperone, Hsc70, from differently thermally adapted notothenioids. Using in vitro assays, we measured the ability of Hsc70 to prevent thermal aggregation of lactate dehydrogenase (LDH). We further compared the capacity of Hsc70 to refold chemically denatured LDH over the temperature range of - 2 to + 45 degrees C. Hsc70 purified from the temperate species exhibited greater ability to prevent the thermal denaturation of LDH at 55 degrees C compared with Hsc70 from the cold-adapted species. Furthermore, Hsc70 from the Antarctic species lost the ability to competently refold chemically denatured LDH at a lower temperature compared with Hsc70 from the temperate species. These data indicate the function of Hsc70 in notothenioid fishes maps onto their thermal history and that temperature selection has acted on these molecular chaperones.</t>
  </si>
  <si>
    <t>place.sean@mayo.edu</t>
  </si>
  <si>
    <t>AMER PHYSIOLOGICAL SOC</t>
  </si>
  <si>
    <t>BETHESDA</t>
  </si>
  <si>
    <t>9650 ROCKVILLE PIKE, BETHESDA, MD 20814 USA</t>
  </si>
  <si>
    <t>0363-6119</t>
  </si>
  <si>
    <t>AM J PHYSIOL-REG I</t>
  </si>
  <si>
    <t>Am. J. Physiol.-Regul. Integr. Comp. Physiol.</t>
  </si>
  <si>
    <t>R1195</t>
  </si>
  <si>
    <t>R1202</t>
  </si>
  <si>
    <t>10.1152/ajpregu.00660.2004</t>
  </si>
  <si>
    <t>Physiology</t>
  </si>
  <si>
    <t>914YQ</t>
  </si>
  <si>
    <t>WOS:000228264500016</t>
  </si>
  <si>
    <t>Herndl, GJ; Reinthaler, T; Teira, E; van Aken, H; Veth, C; Pernthaler, A; Pernthaler, J</t>
  </si>
  <si>
    <t>Contribution of Archaea to total prokaryotic production in the deep Atlantic Ocean</t>
  </si>
  <si>
    <t>APPLIED AND ENVIRONMENTAL MICROBIOLOGY</t>
  </si>
  <si>
    <t>MARINE PLANKTONIC ARCHAEA; IN-SITU HYBRIDIZATION; CATALYZED REPORTER DEPOSITION; BACTERIOPLANKTON DISTRIBUTION; LEUCINE INCORPORATION; BACTERIAL BIOMASS; PROTEIN-SYNTHESIS; CARBON-DIOXIDE; WATER MASSES; CRENARCHAEOTA</t>
  </si>
  <si>
    <t>Fluorescence in situ hybridization (FISH) in combination with polynucleotide probes revealed that the two major groups of planktonic Archaea (Crenarchaeota and Euryarchaeota) exhibit a different distribution pattern in the water column of the Pacific subtropical gyre and in the Antarctic Circumpolar Current system. While Euryarchaeota were found to be more dominant in nearsurface waters, Crenarchaeota were relatively more abundant in the mesopelagic and bathypelagic waters. We determined the abundance of archaea in the mesopelagic and bathypelagic North Atlantic along a south-north transect of more than 4,000 km. Using an improved catalyzed reporter deposition-FISH (CARD-FISH) method and specific oligonucleotide probes, we found that archaea were consistently more abundant than bacteria below a 100-m depth. Combining microautoradiography with CARD-FISH revealed a high fraction of metabolically active cells in the deep ocean. Even at a 3,000-m depth, about 16% of the bacteria were taking up leucine. The percentage of Euryarchaeota and Crenarchaeaota taking up leucine did not follow a specific trend, with depths ranging from 6 to 35% and 3 to 18%, respectively. The fraction of Crenarchaeota taking up inorganic carbon increased with depth, while Euryarchaeota taking up inorganic carbon decreased from 200 m to 3,000 m in depth. The ability of archaea to take up inorganic carbon was used as a proxy to estimate archaeal cell production and to compare this archaeal production with total prokaryotic production measured via leucine incorporation. We estimate that archaeal production in the mesopelagic and bathypelagic North Atlantic contributes between 13 to 27% to the total prokaryotic production in the oxygen minimum layer and 41 to 84% in the Labrador Sea Water, declining to 10 to 20% in the North Atlantic Deep Water. Thus, planktonic archaea are actively growing in the dark ocean although at lower growth rates than bacteria and might play a significant role in the oceanic carbon cycle.</t>
  </si>
  <si>
    <t>Royal Netherlands Inst Sea Res, Dept Biol Oceanog, NL-1790 AB Den Burg, Netherlands; Royal Netherlands Inst Sea Res, Dept Phys Oceanog, NL-1790 AB Den Burg, Netherlands; Max Planck Inst Marine Microbiol, D-28359 Bremen, Germany</t>
  </si>
  <si>
    <t>Utrecht University; Royal Netherlands Institute for Sea Research (NIOZ); Utrecht University; Royal Netherlands Institute for Sea Research (NIOZ); Max Planck Society</t>
  </si>
  <si>
    <t>Herndl, GJ (corresponding author), Royal Netherlands Inst Sea Res, Dept Biol Oceanog, NL-1790 AB Den Burg, Netherlands.</t>
  </si>
  <si>
    <t>herdl@nioz.nl</t>
  </si>
  <si>
    <t>Herndl, Gerhard J./S-3011-2019; Reinthaler, Thomas/E-6563-2013; Pernthaler, Jakob/A-2257-2008; Herndl, Gerhard J./B-1513-2013; Teira, Eva/L-5745-2014</t>
  </si>
  <si>
    <t>Herndl, Gerhard J./0000-0002-2223-2852; Reinthaler, Thomas/0000-0003-3881-3122; Teira, Eva/0000-0002-4333-0101; Pernthaler, Jakob/0000-0001-7558-909X</t>
  </si>
  <si>
    <t>AMER SOC MICROBIOLOGY</t>
  </si>
  <si>
    <t>1752 N ST NW, WASHINGTON, DC 20036-2904 USA</t>
  </si>
  <si>
    <t>0099-2240</t>
  </si>
  <si>
    <t>APPL ENVIRON MICROB</t>
  </si>
  <si>
    <t>Appl. Environ. Microbiol.</t>
  </si>
  <si>
    <t>10.1128/AEM.71.5.2303-2309.2005</t>
  </si>
  <si>
    <t>926EH</t>
  </si>
  <si>
    <t>WOS:000229105300015</t>
  </si>
  <si>
    <t>Danks, HV</t>
  </si>
  <si>
    <t>Key themes in the study of seasonal adaptations in insects I. Patterns of cold hardiness</t>
  </si>
  <si>
    <t>APPLIED ENTOMOLOGY AND ZOOLOGY</t>
  </si>
  <si>
    <t>insects; seasonality; cold-hardiness; nucleators; rapid cold-hardening</t>
  </si>
  <si>
    <t>EUROSTA-SOLIDAGINIS DIPTERA; GOLDENROD GALL FLY; PRINGLEOPHAGA-MARIONI LEPIDOPTERA; AMBLYSEIUS FINLANDICUS ACARI; SUB-ANTARCTIC CATERPILLAR; CRITICAL THERMAL LIMITS; OVERWINTERING LARVAE; ICE-NUCLEATION; WATER-BALANCE; DESICCATION RESISTANCE</t>
  </si>
  <si>
    <t>Recent work on selected topics of particular interest for understanding insect cold hardiness is reviewed. Themes considered include the dynamic nature of cold hardiness, ice nucleation, connections between cold hardiness and desiccation, rapid cold hardening, seasonal changes in mitochondria, survival in nature, and selection for types of cold hardiness. Such seasonal adaptations have a wider range of components than has often been appreciated, including independently evolved elements. Some specific conclusions are drawn and suggestions are made for future work. Several adaptations, such as rapid cold-hardening and mitochondrial degradation, will probably prove to be much more widespread than has yet been realized. From a general perspective, understanding such diverse components and their differences requires an ecological approach that places the biochemical and timing adaptations in context with habitat conditions and demands related to the stresses of the adverse season, seasons favorable for development and reproduction, and the signals that are available in each habitat to predict future environments. Further understanding therefore depends especially on efforts to analyse the adaptations of individual species in the context of their natural environments.</t>
  </si>
  <si>
    <t>Okayama Univ, Res Inst Bioresources, Grp Insect Physiol &amp; Mol Biol, Kurashiki, Okayama 7100046, Japan; Canadian Museum Nat, Biol Survey Canada Terr Antrhopods, Ottawa, ON K1P 6P4, Canada</t>
  </si>
  <si>
    <t>Okayama University</t>
  </si>
  <si>
    <t>Okayama Univ, Res Inst Bioresources, Grp Insect Physiol &amp; Mol Biol, Kurashiki, Okayama 7100046, Japan.</t>
  </si>
  <si>
    <t>hdanks@mus-nature.ca</t>
  </si>
  <si>
    <t>CALLISTA, audrey/AAD-8511-2022</t>
  </si>
  <si>
    <t>SPRINGER JAPAN KK</t>
  </si>
  <si>
    <t>TOKYO</t>
  </si>
  <si>
    <t>SHIROYAMA TRUST TOWER 5F, 4-3-1 TORANOMON, MINATO-KU, TOKYO, 105-6005, JAPAN</t>
  </si>
  <si>
    <t>0003-6862</t>
  </si>
  <si>
    <t>1347-605X</t>
  </si>
  <si>
    <t>APPL ENTOMOL ZOOL</t>
  </si>
  <si>
    <t>Appl. Entomol. Zoolog.</t>
  </si>
  <si>
    <t>10.1303/aez.2005.199</t>
  </si>
  <si>
    <t>947SD</t>
  </si>
  <si>
    <t>WOS:000230665700001</t>
  </si>
  <si>
    <t>Navas, A; Soto, J; López-Martínez, J</t>
  </si>
  <si>
    <t>Radionuclides in soils of Byers Peninsula, South Shetland Islands, Western Antarctica</t>
  </si>
  <si>
    <t>APPLIED RADIATION AND ISOTOPES</t>
  </si>
  <si>
    <t>radionuclides; depth distribution; soils; permafrost; cryogenic processes; Livingston Island; Antarctica</t>
  </si>
  <si>
    <t>LIVINGSTON-ISLAND; PB-210; SASKATCHEWAN; ISOTOPES; URANIUM; RA-226; CS-137</t>
  </si>
  <si>
    <t>As a part of a broader study of the surface formations in maritime Antarctica, a preliminary survey on the content of radionuclides has been carried out in soils of Byers Peninsula, located in the western end of Livingston Island, South Shetland Islands. Data on natural and artificial radionuclides are very scarce in Antarctica and the studied soil samples can be representative of the maritime Antarctic environment. Byers Peninsula has an extensive presence of permafrost and an active layer, the studied soils being Criosols and Cryie Leptosols. A series of soil cores between 13 and 40 cm depth have been collected in different lithological and altitudinal contexts. In the southwestern sector of the peninsula, soils have been sampled in seven different sites along a transect on different geomorphological units from an upper marine platform (88 m above sea level) to a Holocene raised beach at an altitude of 24 m a.s.l. The parent materials are mainly Upper Jurassic-Lower Cretaceous marine sandstones and conglomerates and Lower Cretaceous volcanoclastic materials. Individual samples have been obtained from the cores according to textural and colour criteria and analysed for U-238, Ra-226, Th-232 K-40 and Cs-137 by gamma spectrometry. Radionuclides show variations in the depth profile as well as in the different morphoedaphic environments studied. Variability in some radionuclides seems to be related to mineralogy derived from parent materials as well as with cryogenic and soil processes affecting the depth distribution of the granulometric fractions and the organic matter. (c) 2005 Elsevier Ltd. All rights reserved.</t>
  </si>
  <si>
    <t>CSIC, Estac Expt Aula Dei, Zaragoza, Spain; Univ Cantabria, Dpt Ciencias Med &amp; Quirurg, Santander 39011, Spain; Univ Autonoma Madrid, Fac Ciencias, Dpt Quim Agr Geol &amp; Geoquim, E-28049 Madrid, Spain</t>
  </si>
  <si>
    <t>Consejo Superior de Investigaciones Cientificas (CSIC); CSIC - Estacion Experimental de Aula Dei (EEAD); Universidad de Cantabria; Autonomous University of Madrid</t>
  </si>
  <si>
    <t>CSIC, Estac Expt Aula Dei, Apartado 202, Zaragoza, Spain.</t>
  </si>
  <si>
    <t>anavas@eead.csic.es</t>
  </si>
  <si>
    <t>Lopez-Martinez, Jeronimo/C-5744-2011; Navas, Ana/C-2725-2014</t>
  </si>
  <si>
    <t>Lopez-Martinez, Jeronimo/0000-0002-1750-8287; Navas, Ana/0000-0002-4724-7532</t>
  </si>
  <si>
    <t>0969-8043</t>
  </si>
  <si>
    <t>APPL RADIAT ISOTOPES</t>
  </si>
  <si>
    <t>Appl. Radiat. Isot.</t>
  </si>
  <si>
    <t>10.1016/j.apradiso.2004.11.007</t>
  </si>
  <si>
    <t>Chemistry, Inorganic &amp; Nuclear; Nuclear Science &amp; Technology; Radiology, Nuclear Medicine &amp; Medical Imaging</t>
  </si>
  <si>
    <t>Chemistry; Nuclear Science &amp; Technology; Radiology, Nuclear Medicine &amp; Medical Imaging</t>
  </si>
  <si>
    <t>910JC</t>
  </si>
  <si>
    <t>WOS:000227926300018</t>
  </si>
  <si>
    <t>Chen, M; Xiao, X; Wang, P; Zeng, X; Wang, FP</t>
  </si>
  <si>
    <t>Arthrobacter ardleyensis sp nov., isolated from Antarctic lake sediment and deep-sea sediment</t>
  </si>
  <si>
    <t>ARCHIVES OF MICROBIOLOGY</t>
  </si>
  <si>
    <t>Antarctica; Arthrobacter ardleyensis; cell wall; deep-sea; DNA-DNA hybridization; Mol% G plus C content</t>
  </si>
  <si>
    <t>GENUS ARTHROBACTER; RECLASSIFICATION; ENZYMES; SOILS</t>
  </si>
  <si>
    <t>Three psychrotrophic Arthrobacter strains, isolated from Antarctic lake sediment (An24, An25(T)) and deep-sea sediment (ZX6) were studied. Their 16S rRNA gene sequences showed highest similarities (97.0-97.9%) with those of A. nicotianae and A. protophormiae. All three strains underwent rod-coccus morphological change, had high mol% G+C content, were aerobic to slightly anaerobic, and grew between 0 degrees C and 30 degrees C, with optimal growth temperature around 25 degrees C. The cell wall peptidoglycan was A4 alpha variant. DNA-DNA hybridization, physiological and chemotaxonomic studies indicated that these three strains constituted a new homogeneous genomic species within the genus Arthrobacter, for which the name Arthrobacter ardleyensis, with the type strain An25(T) (CGMCC 1.3685, JCM 12921) was proposed.</t>
  </si>
  <si>
    <t>Resources State Ocean Adm, Inst Oceanog 3, Key lab Marine Biogenet, Xiamen, Peoples R China; Xiamen Univ, Sch Life Sci, Xiamen, Peoples R China</t>
  </si>
  <si>
    <t>Third Institute of Oceanography, Ministry of Natural Resources; Xiamen University</t>
  </si>
  <si>
    <t>Resources State Ocean Adm, Inst Oceanog 3, Key lab Marine Biogenet, Xiamen, Peoples R China.</t>
  </si>
  <si>
    <t>fengpingw@yahoo.com</t>
  </si>
  <si>
    <t>0302-8933</t>
  </si>
  <si>
    <t>1432-072X</t>
  </si>
  <si>
    <t>ARCH MICROBIOL</t>
  </si>
  <si>
    <t>Arch. Microbiol.</t>
  </si>
  <si>
    <t>10.1007/s00203-005-0772-y</t>
  </si>
  <si>
    <t>926AX</t>
  </si>
  <si>
    <t>WOS:000229096200009</t>
  </si>
  <si>
    <t>Arnold, N</t>
  </si>
  <si>
    <t>Investigating the sensitivity of glacier mass-balance/elevation profiles to changing meteorological conditions: Model experiments for haut glacier D'Arolla, Valais, Switzerland</t>
  </si>
  <si>
    <t>ARCTIC ANTARCTIC AND ALPINE RESEARCH</t>
  </si>
  <si>
    <t>SURFACE-ENERGY-BALANCE; MELT; ICE; RADIATION; ABLATION</t>
  </si>
  <si>
    <t>This paper presents the results of a distributed surface energy balance model which is used to calculate season-long patterns of melt on a small valley glacier, Haut Glacier d'Arolla, Valais, Switzerland, under different summer meteorological conditions and winter snow depth distributions. The model uses a Digital Elevation Model of the glacier and the surrounding topography, together with meteorological data collected at a site in front of the glacier to determine hourly totals of the surface energy balance components, and hence melt, over the entire glacier surface throughout a melt season, with a spatial resolution of 20 m. From these results, the spatially averaged mass-balance/elevation profile for the glacier can be calculated. A cubic relationship with elevation gives the best fit to the calculated mass-balance curve. The shape of this profile varies with the imposed change in meteorological conditions, however, becoming increasingly S shaped for warmer or less snowy conditions. These mass-balance profile changes are due to the complex interplay between albedo variations due to different snow depths over the glacier surface (and eventual removal of the snow cover), the variations in solar energy receipts caused by slope and aspect variation over the glacier and the changing patterns of shading by the surrounding topography. The changes in mass-balance profile lead to maximum calculated mass-balance sensitivity to imposed change occurring at intermediate elevations on the glacier; the calculated equilibrium-line attitude (ELA) occurs at the upper end of this zone, resulting in very large calculated changes in the ELA for different climatic conditions.</t>
  </si>
  <si>
    <t>Univ Cambridge, Scott Polar Res Inst, Cambridge CB2 1ER, England</t>
  </si>
  <si>
    <t>University of Cambridge</t>
  </si>
  <si>
    <t>Univ Cambridge, Scott Polar Res Inst, Lensfield Rd, Cambridge CB2 1ER, England.</t>
  </si>
  <si>
    <t>nsa12@cam.ac.uk</t>
  </si>
  <si>
    <t>Arnold, Neil/AAI-2272-2021</t>
  </si>
  <si>
    <t>INST ARCTIC ALPINE RES</t>
  </si>
  <si>
    <t>UNIV COLORADO, BOULDER, CO 80309 USA</t>
  </si>
  <si>
    <t>1523-0430</t>
  </si>
  <si>
    <t>1938-4246</t>
  </si>
  <si>
    <t>ARCT ANTARCT ALP RES</t>
  </si>
  <si>
    <t>Arct. Antarct. Alp. Res.</t>
  </si>
  <si>
    <t>10.1657/1523-0430(2005)037[0139:ITSOGE]2.0.CO;2</t>
  </si>
  <si>
    <t>Environmental Sciences; Geography, Physical</t>
  </si>
  <si>
    <t>Environmental Sciences &amp; Ecology; Physical Geography</t>
  </si>
  <si>
    <t>931KM</t>
  </si>
  <si>
    <t>WOS:000229484200001</t>
  </si>
  <si>
    <t>Baldisserotto, C; Ferroni, L; Andreoli, C; Fasulo, MP; Bonora, A; Pancaldi, S</t>
  </si>
  <si>
    <t>Dark-acclimation of the chloroplast in Koliella antarctica exposed to a simulated austral night condition</t>
  </si>
  <si>
    <t>EUGLENA-GRACILIS KLEBS; PHOTOSYSTEM-II; LIGHT; CHROMOPLASTS; CAROTENOIDS; ICE; PHOTOPROTECTION; CHLOROPHYLLS; STRATEGIES; MIXOTROPHY</t>
  </si>
  <si>
    <t>The acclimation response of the chloroplast was studied in the green marine microalga Koliella antarctica exposed to a simulated austral night of 90 d. On the basis of the micro- and submicroscopic aspects observed, the photosynthetic pigment patterns monitored spectrophotometrically, and the course of the assembly of the PSII chlorophyll-protein complexes evaluated microspectrofluorimetrically in vivo on single living cells, it was established that the alga tolerates the stress of light absence when cultured in the laboratory. During the treatment, the organism undergoes substantial structural and functional reorganization of the plastid, resulting in the formation of a chlorochromoplast-like structure, suitable for the storage, in different times and in specialized structures, of the products coming from the breakdown of the pre-existing plastid constituents. On the whole, the dark acclimation occurs in two different steps: a first acclimation, quickly realized, during the first 6 d and maintained up to 20 d of darkness, and a second acclimation period, starting from the 21st day, maintained up to the end of the experiment.</t>
  </si>
  <si>
    <t>Univ Ferrara, Dipartimento Risorse Nat &amp; Culturali, I-44100 Ferrara, Italy; Univ Padua, Dept Biol, I-35100 Padua, Italy</t>
  </si>
  <si>
    <t>University of Ferrara; University of Padua</t>
  </si>
  <si>
    <t>Univ Ferrara, Dipartimento Risorse Nat &amp; Culturali, C So Porta Mare,2, I-44100 Ferrara, Italy.</t>
  </si>
  <si>
    <t>fsm@unife.it</t>
  </si>
  <si>
    <t>Ferroni, Lorenzo/AAA-5135-2021; Ferroni, Lorenzo/AAW-9342-2020</t>
  </si>
  <si>
    <t>Ferroni, Lorenzo/0000-0002-5694-2078; Pancaldi, Simonetta/0000-0002-2077-3268; BALDISSEROTTO, Costanza/0000-0002-8710-558X</t>
  </si>
  <si>
    <t>10.1657/1523-0430(2005)037[0146:DOTCIK]2.0.CO;2</t>
  </si>
  <si>
    <t>WOS:000229484200002</t>
  </si>
  <si>
    <t>Best, H; McNamara, JP; Liberty, L</t>
  </si>
  <si>
    <t>Association of ice and river channel morphology determined using ground-penetrating radar in the Kuparuk River, Alaska</t>
  </si>
  <si>
    <t>SHORT-PULSE RADAR; DISCHARGE</t>
  </si>
  <si>
    <t>We collected ground-penetrating radar data at 10 sites along the Kuparuk River and its main tributary, the Toolik River, to detect unfrozen water beneath river ice. We used 250 MHz and 500 MHz antennas to image both the ice-water interface and the river channel in late April 2001, when daily high temperatures were consistently below freezing and river ice had attained its maximum seasonal thickness. The presence of water below the river ice appears as a strong, horizontal reflection observed in the radar data and is confirmed by drill hole data. A downstream transition occurs from ice that is frozen to the bed, called bedfast ice, to ice that is floating on unfrozen water, called floating ice. This transition in ice type corresponds to a downstream change in channel size that was detected in previously conducted hydraulic geometry surveys of the Kuparuk River. We propose a conceptual model wherein the downstream transition from bedfast ice to floating ice is responsible for an observed step change in channel size due to enhanced bank erosion in large channels by floating ice.</t>
  </si>
  <si>
    <t>Boise State Univ, Dept Geosci, Boise, ID 83725 USA; Boise State Univ, Ctr Geophys Invest Shallow Subsurface, Boise, ID 83725 USA</t>
  </si>
  <si>
    <t>Idaho; Boise State University; Idaho; Boise State University</t>
  </si>
  <si>
    <t>Boise State Univ, Dept Geosci, Boise, ID 83725 USA.</t>
  </si>
  <si>
    <t>JMCNAMAR@boisestate.edu</t>
  </si>
  <si>
    <t>McNamara, James P/F-1993-2011</t>
  </si>
  <si>
    <t>McNamara, James/0000-0001-7625-4507</t>
  </si>
  <si>
    <t>10.1657/1523-0430(2005)037[0157:AOIARC]2.0.CO;2</t>
  </si>
  <si>
    <t>WOS:000229484200003</t>
  </si>
  <si>
    <t>Chueca, J; Julián, A</t>
  </si>
  <si>
    <t>Movement of Besiberris rock glacier, central Pyrenees, Spain:: Data from a 10-year geodetic survey</t>
  </si>
  <si>
    <t>MOUNTAINS</t>
  </si>
  <si>
    <t>A 10-yr (1993-2003) geodetic survey was conducted at the Besiberris rock glacier, a tongue-shaped, glacigenic rock glacier, located in the eastern-central Spanish Pyrenees (42 degrees 35'48N, 0 degrees 49'20E). Displacement measurements were made on three traverse lines across the rock glacier. Surface horizontal velocity increases from the head to the toe sectors (average values: traverse line A = 8.72 cm yr(-1); line B = 10.65 cm yr(-1); line C = 13.35 cm yr(-1)). Velocities are greater at the axis of the rock glacier compared to its lateral margins. In terms of vertical movement, the rock glacier has shown clear thinning of an ice-core. In all three traverse lines, surface lowering has been detected (average values: line A = 5.00 cm yr(-1); line B = 7.10 cm, yr(-1); line C = 5.27 cm, yr(-1)). This general lowering is interpreted as the adjustment of the rock glacier to the climatic amelioration (higher temperature, drier conditions, and reduced snowfall) observed in the Pyrenean region since the end of the Little Ice Age and accentuated in the last few decades.</t>
  </si>
  <si>
    <t>Univ Zaragoza, Dept Geog, E-50009 Zaragoza, Spain</t>
  </si>
  <si>
    <t>University of Zaragoza</t>
  </si>
  <si>
    <t>Chueca, J (corresponding author), Univ Zaragoza, Dept Geog, E-50009 Zaragoza, Spain.</t>
  </si>
  <si>
    <t>jchueca@posta.unizar.es</t>
  </si>
  <si>
    <t>10.1657/1523-0430(2005)037[0163:MOBRGC]2.0.CO;2</t>
  </si>
  <si>
    <t>WOS:000229484200004</t>
  </si>
  <si>
    <t>Clarke, JA; Johnson, RE</t>
  </si>
  <si>
    <t>Comparisons and contrasts between the foraging behaviors of two white-tailed ptarmigan (Lagopus leucurus) populations, Rocky Mountains, Coloralo, and Sierra Nevada, California, USA</t>
  </si>
  <si>
    <t>PLANT SECONDARY COMPOUNDS; FOOD SELECTION; GENERALIST HERBIVORES; NUTRIENT CONSTRAINTS; DIET; PLASTICITY; DIVERSITY; CHEMISTRY; OMNIVORE; ECOLOGY</t>
  </si>
  <si>
    <t>The summer diets of a natural population of white-tailed ptarmigan (Lagopus leucurus), an herbivorous alpine grouse, in the Rocky Mountains and an introduced population in the Sierra Nevada were compared to determine if differences in alpine tundra plant communities affected nutritional intake. Foraging selections of 28 adult ptarmigan were recorded regarding number, amount, availability, nutritional, mineral and energy content of plant species eaten. The average diet of the Rocky Mountain ptarmigan was composed of nine plant species (99% g dry wt), while the average diet of the Sierra Nevada ptarmigan was composed of only two plant species, Salix anglorum and Carex jonesii (99% g dry wt). Although plant species eaten differed between the populations, the energy and lipid content of the diets were nearly identical. The diet of Sierra Nevada ptarmigan was 28% higher in protein and 13% lower in carbohydrate than the diet of Rocky Mountain ptarmigan, likely due to high consumption of Salix leaves and low consumption of flowers by the Sierra Nevada ptarmigan. Both populations exhibited sampling behavior (ingesting occasional bites from many species), which would allow ptarmigan to track changing resources in the highly variable alpine environment and may have enabled the introduced ptarmigan to identify a suitable diet.</t>
  </si>
  <si>
    <t>Univ No Colorado, Dept Biol Sci, Greeley, CO 80639 USA; Washington State Univ, Dept Zool, Pullman, WA 99164 USA</t>
  </si>
  <si>
    <t>University of Northern Colorado; Washington State University</t>
  </si>
  <si>
    <t>Clarke, JA (corresponding author), Univ No Colorado, Dept Biol Sci, Greeley, CO 80639 USA.</t>
  </si>
  <si>
    <t>jennifer.clarke@unco.edu</t>
  </si>
  <si>
    <t>10.1657/1523-0430(2005)037[0171:CACBTF]2.0.CO;2</t>
  </si>
  <si>
    <t>WOS:000229484200005</t>
  </si>
  <si>
    <t>Cripps, CL; Eddington, LH</t>
  </si>
  <si>
    <t>Distribution of mycorrhizal types among alpine vascular plant families on the Beartooth Plateau, rocky mountains, USA, in reference to large-scale patterns in arctic-alpine habitats</t>
  </si>
  <si>
    <t>DARK SEPTATE ENDOPHYTES; SOIL-NITROGEN; PHIALOCEPHALA-FORTINII; ECTOMYCORRHIZAL FUNGI; DRYAS-OCTOPETALA; COMMUNITIES; ISLAND; VEGETATION; TUNDRA; CYPERACEAE</t>
  </si>
  <si>
    <t>Mycorrhizal symbiosis is critical to plant establishment and survival, influences plant community structure and function, and could be particularly important in harsh environments such as the alpine tundra. An examination of 53 vascular plant species in 21 families from alpine areas of the Beartooth Plateau (Rocky Mountains) revealed most were mycorrhizal (68%) and four distinct types of symbioses were present. They differ in fungal groups involved, plant taxa, physiology, ecology, morphology, and resource acquisition. Betula, Dryas, Salix, and Polygonum viviparum consistently form ectomycorrhizae (ECT) with basidiomycete fungi. Phyllodoce, Kalmia, and Vaccinium (Ericaceae) form ericoid mycorrhizae with ascomycete fungi, and Arctostaphylos an arbutoid type with basidiomycetes. Eight families (18 species) had only arbuscular mycorrhizae (AM) of glomalean fungi: Apiaceae, Asteraceae, Campanulaceae, Fabaceae, Hydrophyllaceae, Onagraceae, Poaceae, Ranunculaceae. Nonmycorrhizal (NM) families were Brassicaceae, Caryophyllaceae, Crassulaceae, Cyperaceae, Gentianaceae, and Juncaceae. Split families included Polygonaceae (NM/AM/ECT), Portulacaceae (NM/AM), Rosaceae (AM/ECT), and Scrophulariaceae (NM/AM). This is the first report of mycorrhizae for 25 alpine plant species, and most others are new reports for the Rocky Mountains. The distribution of mycorrhizal types among plant families is reasonably consistent across the arctic-alpine biome (reviewed here) with exceptions. The patchy distribution of mycorrhizal types associated with large-scale perennial vegetation mosaics suggests microbial functioning is not uniform across tundra landscapes.</t>
  </si>
  <si>
    <t>Montana State Univ, Plant Sci &amp; Plant Pathol Dept, Bozeman, MT 59717 USA</t>
  </si>
  <si>
    <t>Montana State University System; Montana State University Bozeman</t>
  </si>
  <si>
    <t>Cripps, CL (corresponding author), Montana State Univ, Plant Sci &amp; Plant Pathol Dept, Bozeman, MT 59717 USA.</t>
  </si>
  <si>
    <t>ccripps@montana.edu</t>
  </si>
  <si>
    <t>10.1657/1523-0430(2005)037[0177:DOMTAA]2.0.CO;2</t>
  </si>
  <si>
    <t>WOS:000229484200006</t>
  </si>
  <si>
    <t>Erschbamer, B; Winkler, E</t>
  </si>
  <si>
    <t>Long-term population development and spatial pattern of Carex curvula subspecies</t>
  </si>
  <si>
    <t>DYNAMICS; LIFE; DEMOGRAPHY; BIGELOWII; GROWTH; CYCLE; SIZE; SIMULATION; TILLERS; SEDGE</t>
  </si>
  <si>
    <t>A study of shoot populations of Carex curvula subspecies (Carex curvula ssp. rosae and C. curvula ssp. curvula) compared predictions from a 3-year observation period with renewed observations after 10 years. The study sites were located in the Dolomites (Mount Latemar), Italy, at 2390-2580 m a.s.l. The first observation period (1990-1992) produced findings on shoot numbers in different plots at five sites. These shoot numbers allowed the finite rates of population increase gimel (characterizing the dynamic state of the populations) to be calculated. The values of gimel varied modestly within and among populations. The long-term rates of population increase remained close to the equilibrium value of 1.0. The spatial pattern was calculated by means of the patchiness index and patch occupancy. The smaller the plot population, the higher the patchiness and the lower the proportion of occupied patches. To some extent, patchiness can serve as a measure of a population's dynamic state. A correlation between the structural measures (patchiness, patch occupancy) and the rate of population increase gimel showed that strongly aggregated populations were small and also decreasing in size. The extinction risks for the next 50 years were found to be very low for populations on the pioneer grassland stand whereas most other populations will decrease and probably reach critical thresholds.</t>
  </si>
  <si>
    <t>Univ Innsbruck, Inst Bot, A-6020 Innsbruck, Austria; UFZ Helmholtz Ctr Environm Res, Ctr Environm Res Leipzig Halle, Dept Ecol Modelling, D-04301 Leipzig, Germany</t>
  </si>
  <si>
    <t>University of Innsbruck; Helmholtz Association; Helmholtz Center for Environmental Research (UFZ)</t>
  </si>
  <si>
    <t>Erschbamer, B (corresponding author), Univ Innsbruck, Inst Bot, Stemwartestr 15, A-6020 Innsbruck, Austria.</t>
  </si>
  <si>
    <t>brigitta.erschbamer@uibk.ac.at; eckart.winkler@ufz.de</t>
  </si>
  <si>
    <t>10.1657/1523-0430(2005)037[0189:LPDASP]2.0.CO;2</t>
  </si>
  <si>
    <t>WOS:000229484200007</t>
  </si>
  <si>
    <t>Geddes, CIA; Brown, DG; Fagre, DB</t>
  </si>
  <si>
    <t>Topography and vegetation as predictors of snow water equivalent across the alpine treeline ecotone at Lee Ridge, Glacier National Park, Montana, USA</t>
  </si>
  <si>
    <t>TRANSPORT MODEL; ROCKY-MOUNTAINS; COMPLEX TERRAIN; PATTERNS; VARIABILITY; VARIABLES; NITROGEN; TUNDRA; RANGE</t>
  </si>
  <si>
    <t>We derived and implemented two spatial models of May snow water equivalent (SWE) at Lee Ridge in Glacier National Park, Montana. We used the models to test the hypothesis that vegetation structure is a control on snow redistribution at the alpine treeline ecotone (ATE). The statistical models were derived using stepwise and best subsets regression techniques. The first model was derived from field measurements of SWE, topography, and vegetation taken at 27 sample points. The second model was derived using GIS-based measures of topography and vegetation. Both the field- (R-2 = 0.93) and GIS-based models (R-2 = 0.69) of May SWE included the following variables: site type (based on vegetation), elevation, maximum slope, and general slope aspect. Site type was identified as the most important predictor of SWE in both models, accounting for 74.0% and 29.5% of the variation, respectively. The GIS-based model was applied to create a predictive map of SWE across Lee Ridge, predicting little snow accumulation on the top of the ridge where vegetation is scarce. The GIS model failed in large depressions, including ephemeral stream channels. The models supported the hypothesis that upright vegetation has a positive effect on accumulation of SWE above and beyond the effects of topography. Vegetation, therefore, creates a positive feedback in which it modifies its environment and could affect the ability of additional vegetation to become established.</t>
  </si>
  <si>
    <t>Univ Michigan, Sch Nat Resources &amp; Environm, Ann Arbor, MI 48109 USA; US Geol Survey, No Rocky Mt Sci Ctr, W Glacier, MT 59936 USA</t>
  </si>
  <si>
    <t>University of Michigan System; University of Michigan; United States Department of the Interior; United States Geological Survey</t>
  </si>
  <si>
    <t>Geddes, CIA (corresponding author), Univ Michigan, Fisheries Res Inst, 212 Museums Annex Bldg, Ann Arbor, MI 48109 USA.</t>
  </si>
  <si>
    <t>cgeddes@umich.edu; danbrown@umich.edu; dan_fagre@usgs.gov</t>
  </si>
  <si>
    <t>Brown, Dan/L-8089-2013</t>
  </si>
  <si>
    <t>Brown, Dan/0000-0001-6023-5950</t>
  </si>
  <si>
    <t>10.1657/1523-0430(2005)037[0197:TAVAPO]2.0.CO;2</t>
  </si>
  <si>
    <t>WOS:000229484200008</t>
  </si>
  <si>
    <t>Girardin, MP; Berglund, E; Tardif, JC; Monson, K</t>
  </si>
  <si>
    <t>Radial growth of tamarack (Larix laridna) in the Churchill area, Manitoba, Canada, in relation to climate and larch sawfly (Pristiphora erichsonii) herbivory</t>
  </si>
  <si>
    <t>SUB-ARCTIC QUEBEC; LIGHT RINGS; HYMENOPTERA-TENTHREDINIDAE; DEFOLIATION; OUTBREAK; TEMPERATURE; POPULATIONS; DYNAMICS; PATTERNS; LARICINA</t>
  </si>
  <si>
    <t>Tree-ring chronologies for tamarack (Larix laricina (Du Roi) K. Koch) growing in four stand types covering a dry-to-wet gradient were developed to investigate the association between radial growth and climate as well as evidence of larch sawfly (Pristiphora erichsonii Hartig) herbivory near Churchill, subarctic Manitoba. The chronologies, produced using both living and subfossil material, were well replicated for the period 1800 to 2000. Our results indicated that climate explained more than 60% of the growth variation in tamarack with temperature from May to July of the growing season being most important. This was unusual considering that other studies showed a weak radial growth-climate association in tamarack because of signal contamination due to severe larch sawfly defoliation. Potential outbreak episodes were investigated by looking at pointer years and by contrasting the variance within the tamarack tree-ring series with that observed in climate and in nonhost species. A weak correspondence was observed among pale latewood rings, growth suppression period, and incomplete rings. Comparison of host and nonhost chronologies revealed synchronized growth suppression periods in tamarack during 1818-1824, 1857-1864, 1891-1892, 1903-1912, and 1959-1964, with seldom more than 25% of the trees being affected. The 20th-century suppressions corresponded to known outbreaks identified in Manitoba. However, they also corresponded to periods of little residues in the climate model suggesting that they may be due to short-term changes in site hydrology. This study stresses the difficulties to use dendrochronology to identify what may be low severity or subepidemic defoliation events. It also stresses the potential differences in the larch sawfly dynamics between the boreal forest and the forest-tundra. Further studies using an extended network of chronologies will be needed to decipher the short-term impacts of climate from those of low severity defoliation episodes.</t>
  </si>
  <si>
    <t>Univ Winnipeg, Ctr Forest Interdisciplinary Res, Winnipeg, MB R3B 2E9, Canada</t>
  </si>
  <si>
    <t>University of Winnipeg</t>
  </si>
  <si>
    <t>Univ Winnipeg, Ctr Forest Interdisciplinary Res, 515 Ave Portage, Winnipeg, MB R3B 2E9, Canada.</t>
  </si>
  <si>
    <t>j.tardif@uwinnipeg.ca</t>
  </si>
  <si>
    <t>10.1657/1523-0430(2005)037[0206:RGOTLL]2.0.CO;2</t>
  </si>
  <si>
    <t>WOS:000229484200009</t>
  </si>
  <si>
    <t>Goodsell, B; Hambrey, MJ; Glasser, NF; Nienow, P; Mair, D</t>
  </si>
  <si>
    <t>The structural glaciology of a temperate valley glacier: Haut Glacier d-'Arolla, Valais, Switzerland</t>
  </si>
  <si>
    <t>DRAINAGE SYSTEM; MEDIAL MORAINES; DAROLLA; FLOW; MOTION</t>
  </si>
  <si>
    <t>This paper describes the structural glaciology of Haut Glacier d'Arolla, a small valley glacier fed by two distinct accumulation basins in the Swiss Alps. A considerable body of field data is presented alongside observations from ground and aerial photographs. Suites of structures identified in the field and from aerial photographs are first described in nongenetic terms before being assigned regular structural terms. Haut Glacier d'Arolla is dominated by primary stratification, which is progressively folded and eventually transposed into longitudinal foliation as it moves into the glacier tongue. Crevasses and crevasse traces cross-cut and in places displace primary stratification and longitudinal foliation. Crevasse traces are formed by the closure of crevasses or may represent tensional veins. On their journey downglacier, crevasse traces become increasingly rotated. Close to the snout, some crevasse traces become reactivated as thrust faults. Strain ellipses, derived from the velocity field, show progressive deformation downglacier (cumulative strain). The shapes of the strain ellipses agree with inferences made concerning the orientation and magnitude of strain from observations of structures in the field. Independent modeling of cumulative strain shows good agreement with the development of longitudinal foliation in a simple shear regime. However, there are inconsistencies in the relationship between modeled cumulative strain and other structures.</t>
  </si>
  <si>
    <t>Univ Wales, Ctr Glaciol, Inst Geog &amp; Earth Sci, Aberystwyth SY23 3DB, Dyfed, Wales; Univ Glasgow, Dept Geog &amp; Topog Sci, Glasgow G12 8QQ, Lanark, Scotland; Univ Aberdeen, Dept Geog &amp; Environm, Aberdeen AB24 3UF, Scotland</t>
  </si>
  <si>
    <t>Aberystwyth University; University of Glasgow; University of Aberdeen</t>
  </si>
  <si>
    <t>Univ Canterbury, Dept Geog, Private Bag 4800, Christchurch 1, New Zealand.</t>
  </si>
  <si>
    <t>becky.goodsell@canterbury.ac.nz</t>
  </si>
  <si>
    <t>Glasser, Neil F/C-1971-2012</t>
  </si>
  <si>
    <t>Mair, Douglas/0000-0001-7009-5461; Glasser, Neil/0000-0002-8245-2670</t>
  </si>
  <si>
    <t>10.1657/1523-0430(2005)037[0218:TSGOAT]2.0.CO;2</t>
  </si>
  <si>
    <t>WOS:000229484200010</t>
  </si>
  <si>
    <t>Heide, OM</t>
  </si>
  <si>
    <t>Ecotypic variation among European arctic and alpine populations of Oxyda digyna</t>
  </si>
  <si>
    <t>GROWTH; REPRODUCTION; DORMANCY; NORTHERN; LATITUDE; NORWAY</t>
  </si>
  <si>
    <t>Morphological and physiological variation of four geographically separated European populations of Oxyria digyna (L.) Hill (Polygonaceae) ranging from 45 to 78 degrees N latitude were studied in controlled environments. Characters such as the presence of rhizomes, variable stamen number, few inflorescence branches, and low leaf length/width ratio were found to be common to northern populations. Perennating buds were formed under short day (SD) conditions in all populations across the temperature range (9-21 degrees C), while induction of dormancy required the combination of SD and low temperature. Dormancy release of dormant buds required long day (LD) conditions only. The species was found to be a short-long-day plant for flowering control, the SD requirement being quantitative while the subsequent LD requirement is obligatory. Both the SD flowering response and the fecundity of flowering decreased clinally with increasing latitude of population origin, while the critical daylength for secondary floral induction showed a parallel increase. With some minor modifications, these results agree with earlier findings with North American populations. It is concluded that the obligatory LD requirement for flowering has been a limiting factor for the southward geographic distribution of the species, and that the photoperiodic control of flowering and winter dormancy renders Oxyria particularly well adapted to resist potential negative effects of rising global temperature.</t>
  </si>
  <si>
    <t>Agr Univ Norway, Dept Ecol &amp; Nat Resource Management, N-1432 As, Norway</t>
  </si>
  <si>
    <t>Norwegian University of Life Sciences</t>
  </si>
  <si>
    <t>Agr Univ Norway, Dept Ecol &amp; Nat Resource Management, POB 5003, N-1432 As, Norway.</t>
  </si>
  <si>
    <t>ola.heide@ina.nlh.no</t>
  </si>
  <si>
    <t>10.1657/1523-0430(2005)037[0233:EVAEAA]2.0.CO;2</t>
  </si>
  <si>
    <t>WOS:000229484200011</t>
  </si>
  <si>
    <t>Hodgson, DA; Convey, P</t>
  </si>
  <si>
    <t>A 7000-year record of oribatid mite communities on a maritime-Antarctic island: Responses to climate change</t>
  </si>
  <si>
    <t>SIGNY ISLAND; TERRESTRIAL INVERTEBRATES; ICE-EXTENT; LAKE; ACARI; STRATEGIES; HISTORY; COLD; POPULATIONS; SEDIMENTS</t>
  </si>
  <si>
    <t>We studied the fossil remains of the common Antarctic oribatid mites, Alaskozetes antarcticus and Halozetes belgicae, in sediment cores from two lakes in adjacent catchments on Signy Island, South Orkney Islands, maritime Antarctic. The aim was to examine the response of these species to 7000 yr of documented environmental change. Mites colonized the island shortly after the ice sheet retreated and habitats became available. A temperate period in the Holocene (c. 3800-1400 cal. yr BP) led to population expansion by factors of 7 (both species) in one catchment and 5.1 and 2.3 for both species in the other. This mid-Holocene hypsithermal is thought to have involved increases in habitat size, productivity, temperature, and moisture availability. Mite populations went into decline as conditions cooled. A period of short cold summers from c. 1400 cal. yr BP persisting to the middle of this century continued to impose restrictions on the biota. These results suggest that mite populations will respond positively to the recent rapid regional warming documented in the maritime Antarctic. However, on Signy Island this prediction is complicated by a similarly recent and rapid expansion of the populations of Antarctic fur seals (Arctocephalus gazella), which has not occurred previously since deglaciation, damaging the mites' habitats and exerting a new set of ecological constraints.</t>
  </si>
  <si>
    <t>Convey, Peter/AAV-5728-2020</t>
  </si>
  <si>
    <t>Convey, Peter/0000-0001-8497-9903</t>
  </si>
  <si>
    <t>10.1657/1523-0430(2005)037[0239:AYROOM]2.0.CO;2</t>
  </si>
  <si>
    <t>WOS:000229484200012</t>
  </si>
  <si>
    <t>Li, X; Cheng, GD; Lu, L</t>
  </si>
  <si>
    <t>Spatial analysis of air temperature in the Qinghai-Tibet Plateau</t>
  </si>
  <si>
    <t>INTERPOLATION</t>
  </si>
  <si>
    <t>The mapping of air temperature in the Qinghai-Tibet Plateau is of practical importance because the meteorological stations are sparse and unevenly distributed in the region. The spatial interpolation methods of inverse distance weight, ordinary kriging, ordinary cokriging, and a combined method were used to estimate the spatial distribution of the 19611990 January mean air temperature in the Qinghai-Tibet Plateau. The combined method is a combination of ordinary kriging and correction of altitude effect by using lapse rate of air temperature. Comparison of results showed that the problem of mapping air temperature in the Qinghai-Tibet Plateau cannot be resolved by the simple geometric interpolation method as the inverse distance weight. Ordinary kriging can manifest some spatial pattern but the performance was not improved too much. Cokriging to a certain extent was an improvement of kriging but due to the limited altitude information included in the co-variable, the interpolation results were also not in agreement with the actual situation. The combined method was superior to the other methods. The interpolation result from it was reasonable, proved by both the subjective analysis and by many previous works. The comparison of the four methods leads to the conclusion that for regions with sparse meteorological stations, such as the Qinghai-Tibet Plateau, stochastic interpolation methods must be combined with the altitude-effect correction for estimating the spatial distribution of climatic variables.</t>
  </si>
  <si>
    <t>Chinese Acad Sci, Cold &amp; Arid Reg Environm &amp; Engn Res Inst, State Key Lab Frozen Soil Engn, Lanzhou 730000, Peoples R China</t>
  </si>
  <si>
    <t>Chinese Academy of Sciences; Cold &amp; Arid Regions Environmental &amp; Engineering Research Institute, CAS</t>
  </si>
  <si>
    <t>Chinese Acad Sci, Cold &amp; Arid Reg Environm &amp; Engn Res Inst, State Key Lab Frozen Soil Engn, Lanzhou 730000, Peoples R China.</t>
  </si>
  <si>
    <t>lixin@ns.lzb.ac.cn</t>
  </si>
  <si>
    <t>li, xin/HHS-9461-2022; Li, Xin/F-7473-2011</t>
  </si>
  <si>
    <t>Li, Xin/0000-0003-2999-9818</t>
  </si>
  <si>
    <t>10.1657/1523-0430(2005)037[0246:SAOATI]2.0.CO;2</t>
  </si>
  <si>
    <t>Green Submitted, Bronze</t>
  </si>
  <si>
    <t>WOS:000229484200013</t>
  </si>
  <si>
    <t>López-Moreno, JI</t>
  </si>
  <si>
    <t>Recent variations of snowpack depth in the central Spanish Pyrenees</t>
  </si>
  <si>
    <t>NORTH-ATLANTIC OSCILLATION; CLIMATE-CHANGE; WINTER PRECIPITATION; MOUNTAIN REGIONS; SWISS ALPS; RIVER FLOW; CIRCULATION; COVER; VARIABILITY; TRENDS</t>
  </si>
  <si>
    <t>The evolution of snow depth in the central Spanish Pyrenees was analyzed using measurements from 106 snow stakes over a period of 14 yr (1985-1999). Relationships were considered between the regional series of snow depths at the end of winter and in the middle of spring with respect to precipitation and temperature in previous months. Both variables explained a large percentage of the interannual variability in snowpack. The high correlation between climate parameters and snow depth series may help to better understanding snow evolution at different times of the year and to obtain a predicted series of snow depths for the period 1950-1999 from longer climate series. Snow depth decreased significantly during the second half of 20th century, probably because there was less precipitation from January to March. The decrease in winter precipitation seemed to be related with the positive trend of the North Atlantic Oscillation (NAO) index during the same period.</t>
  </si>
  <si>
    <t>CSIC, Inst Pirenaico Ecol, E-50080 Zaragoza, Spain</t>
  </si>
  <si>
    <t>Consejo Superior de Investigaciones Cientificas (CSIC); CSIC - Instituto Pirenaico de Ecologia (IPE)</t>
  </si>
  <si>
    <t>CSIC, Inst Pirenaico Ecol, Campus Aula Dei,Apartado 202, E-50080 Zaragoza, Spain.</t>
  </si>
  <si>
    <t>nlopez@ipe.csic.es</t>
  </si>
  <si>
    <t>Lopez-Moreno, Ignacio/K-2114-2014</t>
  </si>
  <si>
    <t>Lopez-Moreno, Ignacio/0000-0002-7270-9313</t>
  </si>
  <si>
    <t>10.1657/1523-0430(2005)037[0253:RVOSDI]2.0.CO;2</t>
  </si>
  <si>
    <t>WOS:000229484200014</t>
  </si>
  <si>
    <t>Jing, S; Solhoy, T; Wang, HF; Vollan, TI; Xu, RM</t>
  </si>
  <si>
    <t>Differences in soil arthropod communities along a high altitude gradient at Shergyla Mountain, Tibet, China</t>
  </si>
  <si>
    <t>ENVIRONMENTAL-CHANGE; POPULATIONS; INVERTEBRATES; INSECTS</t>
  </si>
  <si>
    <t>This is the first time that the soil arthropod community composition along a high-altitude gradient (3,837,4,105, and 5,050 m a.s.l.) has been investigated in eastern Tibet, China. Five soil samples of 50 cm(2) were taken from each site and extracted for 7 days in Berlese/Tullgren funnels without heating. Acari was the dominant group of arthropods at all three elevations (79%, 53%, and 54%, respectively, from the lower site to the upper site). Prostigmata and Oribatida were more abundant than Mesostigmata and Astigmata at all three elevations. Mesostigmata and Oribatida were most abundant at the upper elevation (about 8,300 and 29,000 individuals/m(2), respectively). Prostigmata and Astigmata were most abundant at the lower elevation (about 170,000 and 20,000 individuals/m(2), respectively). Collembola was most abundant at the middle elevation (about 68,000 individuals/m(2)). The insect taxa were most abundant at the lower elevation. Diptera larvae, Protura, and Homoptera were the most abundant taxa along the elevation gradient, while Hemiptera, Thysanoptera, and Protura occurred only at the lower elevation. A multivariate redundancy analysis (RDA) shows that 64% of the variance can be explained by attitude. A change in dominant mite taxa along the elevation gradient could be seen. From the lower to upper sites, the dominant taxa changed from Prostigmata to Prostigmata and Oribatida, and then to Oribatida. About 33 genera in 24 families of oribatid mites were found. The numbers of genera from the lower, middle, and upper elevation were 14, 20, and 19, respectively.</t>
  </si>
  <si>
    <t>Beijing Normal Univ, Inst Ecol, Beijing 100875, Peoples R China; Univ Bergen, Dept Biol, N-5007 Bergen, Norway; Acad Sinica, Inst Zool, Beijing 100080, Peoples R China</t>
  </si>
  <si>
    <t>Beijing Normal University; University of Bergen; Chinese Academy of Sciences; Institute of Zoology, CAS</t>
  </si>
  <si>
    <t>Beijing Normal Univ, Inst Ecol, Beijing 100875, Peoples R China.</t>
  </si>
  <si>
    <t>xurumei@bnu.edu.cn</t>
  </si>
  <si>
    <t>10.1657/1523-0430(2005)037[0261:DISACA]2.0.CO;2</t>
  </si>
  <si>
    <t>Green Submitted, Green Accepted</t>
  </si>
  <si>
    <t>WOS:000229484200015</t>
  </si>
  <si>
    <t>Biondi, F; Hartsough, PC; Estrada, IG</t>
  </si>
  <si>
    <t>Daily weather and tree growth at the tropical treeline of North America. (vol 37, pg 16, 2002)</t>
  </si>
  <si>
    <t>Hartsough, Peter C./B-6104-2008</t>
  </si>
  <si>
    <t>WOS:000229484200016</t>
  </si>
  <si>
    <t>Cook, DE; Gale, SJ</t>
  </si>
  <si>
    <t>The curious case of the date of introduction of leaded fuel to Australia: Implications for the history of Southern Hemisphere atmospheric lead pollution</t>
  </si>
  <si>
    <t>ATMOSPHERIC ENVIRONMENT</t>
  </si>
  <si>
    <t>Australia; Southern Hemisphere; lead pollution; tetraethyl lead; dating methods</t>
  </si>
  <si>
    <t>LAKE-SEDIMENTS; ANTARCTIC SNOW; PEAT BOG; DEPOSITION; RECORD; GREENLAND; ISOTOPES; EUROPE; DUSTS</t>
  </si>
  <si>
    <t>By comparison with the Northern Hemisphere, the history of atmospheric lead pollution in the Southern Hemisphere is still poorly understood. Until recently, the main source of atmospheric lead fallout in the Southern Hemisphere was tetraethyl lead from motor fuel and for most of the 20th century the most important single source of this pollutant was Australia. Yet there is little agreement over when leaded fuel made its first appearance in Australia. Reported dates range from the early 1920s to the late 1940s. A study of oil company advertisements and reports in motoring and oil company journals shows that leaded petrol first became available in Australia in August 1932. This date is important both for the reconstruction of lead pollution histories and in the use of lead stratigraphies to determine chronology. (c) 2005 Elsevier Ltd. All rights reserved.</t>
  </si>
  <si>
    <t>Univ Sydney, Sch Geosci, Sydney, NSW 2006, Australia</t>
  </si>
  <si>
    <t>Univ Sydney, Sch Geosci, Sydney, NSW 2006, Australia.</t>
  </si>
  <si>
    <t>sgale@mail.usyd.edu.au</t>
  </si>
  <si>
    <t>Cook, Duncan/0000-0001-5270-4569</t>
  </si>
  <si>
    <t>1352-2310</t>
  </si>
  <si>
    <t>1873-2844</t>
  </si>
  <si>
    <t>ATMOS ENVIRON</t>
  </si>
  <si>
    <t>Atmos. Environ.</t>
  </si>
  <si>
    <t>10.1016/j.atmosenv.2005.01.009</t>
  </si>
  <si>
    <t>928NE</t>
  </si>
  <si>
    <t>WOS:000229277700005</t>
  </si>
  <si>
    <t>Tkaczuk, KL; Bujnicki, JM; Bialkowska, A; Bielecki, S; Turkiewicz, M; Cieslinski, H; Kur, J</t>
  </si>
  <si>
    <t>Molecular modelling of a psychrophilic β-galactosidase</t>
  </si>
  <si>
    <t>BIOCATALYSIS AND BIOTRANSFORMATION</t>
  </si>
  <si>
    <t>6th International Conference on Protein Stabilization</t>
  </si>
  <si>
    <t>SEP 26-29, 2004</t>
  </si>
  <si>
    <t>Bratislava, SLOVAKIA</t>
  </si>
  <si>
    <t>Pseudoalteromonas sp 22b; psychrophilic beta-galactosidase; molecular modelling</t>
  </si>
  <si>
    <t>PROTEIN-STRUCTURE PREDICTION; ESCHERICHIA-COLI; SEQUENCE INFORMATION; ALKALINE-PHOSPHATASE; SECONDARY STRUCTURE; NEURAL-NETWORKS; ACTIVE-SITE; PROFILES; ENZYMES; THERMOSTABILITY</t>
  </si>
  <si>
    <t>An Antarctic strain of bacteria was isolated from the digestive tract of the crustacean Thysanoessa macrura and classified as Pseudoalteromonas sp. 22b based on 16SrRNA gene sequence and physiological as well as biochemical properties. This bacterium turned out to be a good producer of a cold-adapted beta-galactosidase. The enzyme displays high catalytic and molecular adaptation to low temperatures. Here we present a homology model of the psychrophilic beta-galactosidase based on the structural template of the mesophilic beta-galactosidase from Escherichia coli (PDB code: 1JZ7, resolution 1.5 angstrom). Our aim was to identify and characterize potential cold-adaptational features of the target psychrophilic beta-galactosidase at the level of the three-dimensional structure rather than solely from the analysis of the amino acid sequence. We report the results of comparisons between the psychrophilic and mesophilic beta-galactosidases and point out similarities and differences in the catalytic site and in other parts of the structure. The model allowed us to pinpoint a number of characteristics that are frequently observed in psychrophilic enzymes and allowed interpretation of the results of immunochemical and biochemical analyses.</t>
  </si>
  <si>
    <t>Tech Univ Lodz, Inst Tech Biochem, PL-90924 Lodz, Poland; Int Inst Mol &amp; Cell Biol, Lab Bioinformat &amp; Prot Engn, PL-02109 Warsaw, Poland; Gdansk Univ Technol, Dept Microbiol, PL-80952 Gdansk, Poland</t>
  </si>
  <si>
    <t>Lodz University of Technology; Miedzynarodowy Instytut Biologii Molekularnej i Komorkowej; Fahrenheit Universities; Gdansk University of Technology</t>
  </si>
  <si>
    <t>Tech Univ Lodz, Inst Tech Biochem, Stefanowskiego St 4-10, PL-90924 Lodz, Poland.</t>
  </si>
  <si>
    <t>karolina_tkaczuk@go2.pl</t>
  </si>
  <si>
    <t>Ziemka, Agnieszka/AAT-3560-2021; Białkowska, Aneta/P-4481-2019</t>
  </si>
  <si>
    <t>Białkowska, Aneta/0000-0001-7319-238X; , Hubert/0000-0002-3504-2257; Cieslinski, Hubert/0000-0003-0573-0830; Bielecki, Stanislaw/0000-0003-2089-8623</t>
  </si>
  <si>
    <t>1024-2422</t>
  </si>
  <si>
    <t>1029-2446</t>
  </si>
  <si>
    <t>BIOCATAL BIOTRANSFOR</t>
  </si>
  <si>
    <t>Biocatal. Biotransform.</t>
  </si>
  <si>
    <t>MAY-AUG</t>
  </si>
  <si>
    <t>10.1080/10242420500190605</t>
  </si>
  <si>
    <t>Biochemistry &amp; Molecular Biology; Biotechnology &amp; Applied Microbiology</t>
  </si>
  <si>
    <t>988JS</t>
  </si>
  <si>
    <t>WOS:000233591500010</t>
  </si>
  <si>
    <t>Van As, D; Van Den Broeke, M; Reijmer, C; Van De Wal, R; Wal, R</t>
  </si>
  <si>
    <t>The summer surface energy balance of the high Antarctic plateau</t>
  </si>
  <si>
    <t>Antarctica; atmospheric surface layer; boundary-layer experiment; ENABLE; snow; turbulent heat fluxes</t>
  </si>
  <si>
    <t>DRONNING MAUD LAND; EAST ANTARCTICA; SONIC ANEMOMETER; SCALAR ROUGHNESS; HEAT-BALANCE; ICE-SHEET; BLUE ICE; SNOW; TEMPERATURE; VARIABILITY</t>
  </si>
  <si>
    <t>The summertime surface energy balance (SEB) at Kohnen station, situated on the high Antarctic plateau (75degrees00' S, 0degrees04' E, 2892 m above sea level) is presented for the period of 8 January to 9 February 2002. Shortwave and longwave radiation fluxes were measured directly; the former was corrected for problems associated with the cosine response of the instrument. Sensible and latent heat fluxes were calculated using the bulk method, and eddy-correlation measurements and the modified Bowen ratio method were used to verify these calculated fluxes. The calculated sub-surface heat flux was checked by comparing calculated to measured snow temperatures. Uncertainties in the measurements and energy-balance calculations are discussed. The general meteorological conditions were not extraordinary during the period of the experiment, with a mean 2-m air temperature of -27.5 degreesC, specific humidity of 0.52 x 10(-3) kg kg(-1) stop and wind speed of 4.1 m s(-1). The experiment covered the transition period from Antarctic summer (positive net radiation) to winter (negative net radiation), and as a result the period mean net radiation, sensible heat, latent heat and sub-surface heat fluxes were small with values of -1.1, 0.0, -1.0 and 0.7 W m(-2), respectively. Daily mean net radiation peaked on cloudy days (16 W m(-2)) and was negative on clear-sky days (minimum of -19 W m(-2)). Daily mean sensible heat flux ranged from -8 to +10 W m(-2), latent heat flux from -4 to 0 W m(-2) and sub-surface heat flux from -8 to +7 W m(-2).</t>
  </si>
  <si>
    <t>Univ Utrecht, Inst Marine &amp; Atmospher Res Utrecht, POB 80000, NL-3508 TA Utrecht, Netherlands.</t>
  </si>
  <si>
    <t>D.vanAs@phys.uu.nl</t>
  </si>
  <si>
    <t>Reijmer, Carleen H/G-8736-2011; van der Werf, Guido/JXY-9197-2024; van der Werf, Guido/M-8260-2016; van de wal, roderik/D-1705-2011; Van den Broeke, Michiel R./F-7867-2011</t>
  </si>
  <si>
    <t>Reijmer, Carleen H/0000-0001-8299-3883; van de wal, roderik/0000-0003-2543-3892; Van den Broeke, Michiel R./0000-0003-4662-7565; van As, Dirk/0000-0002-6553-8982</t>
  </si>
  <si>
    <t>1573-1472</t>
  </si>
  <si>
    <t>10.1007/s10546-004-4631-1</t>
  </si>
  <si>
    <t>902OV</t>
  </si>
  <si>
    <t>WOS:000227367300006</t>
  </si>
  <si>
    <t>Delmonte, B; Petit, JR; Krinner, G; Maggi, V; Jouzel, J; Udisti, R</t>
  </si>
  <si>
    <t>Ice core evidence for secular variability and 200-year dipolar oscillations in atmospheric circulation over East Antarctica during the Holocene</t>
  </si>
  <si>
    <t>NORTH-ATLANTIC CLIMATE; DOME-C; SEA-ICE; DUST; SOLAR; VOSTOK; EPICA; RECORD; CYCLE; CHRONOLOGY</t>
  </si>
  <si>
    <t>Two Holocene ice core records from East Antarctica (Vostok and EPICA-Dome C) were analysed for dust concentration and size distribution at a temporal resolution of 1 sample per similar to 50 years. A series of volcanic markers randomly distributed over the common part of the ice cores (from 9.8 to 3.5 kyear BP) ensures accurate relative dating (+/-33 years). Dust-size records from the two sites display oscillations structured in cycles with sub-millennial and secular scale frequencies that are apparently asynchronous. The power spectra of the composite sum (1) of the two dust-size records display spectral energy mostly for 150- to 500-year periodicities. On the other hand, the 200-year band is common to both records and the 200 year components of the two sites are out-of-phase (100-year lead or lag) over similar to 5.5 kyear, a phenomenon also reflected by a significant ( &gt; 99 % conf. lev.) band in the power spectra of the composite difference (A) of the two size records. During long-range transport, mineral dust originating from the Southern Hemisphere continents is graded to a variable extent depending on the altitude and duration of atmospheric transport. Relatively coarse dust is associated with air mass penetration from the middle-lower troposphere and conversely relatively fine dust with upper troposphere air masses or the influence of subsidence over the Antarctic plateau, a hypothesis already proposed for the changes that occurred during the Last Glacial Maximum to Holocene transition (Delmonte et al. 2004b). Moreover, we assume that the overall fluctuation of air mass advection over Antarctica depends on the meridional pressure gradient with respect to low latitudes, i.e. the Antarctic Oscillation (AAO). We therefore suggest a regional variability in atmospheric circulation over East Antarctica. The 150500 year power spectrum of the composite (1) parameter represents the long term variability of the AAO, imprinted by secular internal oscillations probably related to the southern ocean-climatic system. On the other hand, the A dust composite parameter suggests a persistent atmospheric dipole over East Antarctica delivering coarser (finer) dust particles alternatively to Vostok and Dome C regions with a bi-centennial periodicity. Indeed, a seesaw phenomenon in dust size distribution was already observed at three East Antarctic sites during the last deglaclation (Delmonte et al. 2004b) and was interpreted as a progressive reduction of the eccentricity of the polar vortex with respect to the geographic south pole. Interestingly, the A parameter shows a pronounced 200-year oscillation mode, throwing new light on the unresolved question of a possible relationship between climate and solar activity.</t>
  </si>
  <si>
    <t>CNRS, Lab Glaciol &amp; Geophys Environm, F-38402 St Martin Dheres, France; Univ Milano Bicocca, DISAT, Dept Environm Sci, I-20126 Milan, Italy; Univ Siena, Dept Geol Sci, I-53100 Siena, Italy; CE Saclay, CNRS, CEA,Lab Sci Climat &amp; Environm, UMR 1572,Inst Pierre Simon Laplace, F-91191 Gif Sur Yvette, France; Univ Florence, Dept Chem, Analyt Chem Sect, I-50019 Sesto Fiorentino, Florence, Italy</t>
  </si>
  <si>
    <t>Centre National de la Recherche Scientifique (CNRS); University of Milano-Bicocca; University of Siena; CEA; Centre National de la Recherche Scientifique (CNRS); Universite Paris Saclay; Universite Paris Cite; University of Florence</t>
  </si>
  <si>
    <t>CNRS, Lab Glaciol &amp; Geophys Environm, BP96, F-38402 St Martin Dheres, France.</t>
  </si>
  <si>
    <t>bdelmonte@nest.it; krinner@lgge.obs.ujf-grenoble.fr; valter.maggi@unimib.it; udisti@unifi.it</t>
  </si>
  <si>
    <t>Udisti, Roberto/M-7966-2015; Krinner, Gerhard/A-6450-2011; Maggi, Valter/E-1878-2014; Delmonte, Barbara/L-2555-2015; Krinner, Gerhard/AAB-8837-2022; Maggi, Valter/AAX-5728-2020</t>
  </si>
  <si>
    <t>Udisti, Roberto/0000-0003-4440-8238; Delmonte, Barbara/0000-0002-9074-2061; Krinner, Gerhard/0000-0002-2959-5920; Maggi, Valter/0000-0001-6287-1213; Becagli, Silvia/0000-0003-3633-4849</t>
  </si>
  <si>
    <t>10.1007/s00382-005-0012-9</t>
  </si>
  <si>
    <t>939SB</t>
  </si>
  <si>
    <t>WOS:000230091600008</t>
  </si>
  <si>
    <t>Cane, KN; Arnould, JPY; Nicholas, KR</t>
  </si>
  <si>
    <t>Characterisation of proteins in the milk of fur seals</t>
  </si>
  <si>
    <t>COMPARATIVE BIOCHEMISTRY AND PHYSIOLOGY B-BIOCHEMISTRY &amp; MOLECULAR BIOLOGY</t>
  </si>
  <si>
    <t>beta-lactoglobulin; casein; fur seal; lactation; milk composition; protein sequence; whey</t>
  </si>
  <si>
    <t>BOVINE BETA-LACTOGLOBULIN; SOUTHERN ELEPHANT SEAL; FATTY-ACID-COMPOSITION; WHEY PROTEINS; LACTATION; SECRETION; RETINOL; BINDING; IDENTIFICATION; SUPERFAMILY</t>
  </si>
  <si>
    <t>Milk protein composition was investigated throughout the lactation periods of the Australian fur seal (Aretocephalus pusillus doriferus) and Antarctic fur seal (Arctocephalus gazella). The mean protein content of the milk was found to be 10.9% and 10.6% respectively. The concentration of total protein did not change during lactation, although a decline in casein content of the milk in late lactation was apparent. Milk protein concentration during a foraging/suckling cycle of the Antarctic fur seal analysed at the time of arrival on shore, and 24 It and 72 h after arrival was 12.8%, 11.4% and 12.5% respectively. Re.-feeding animals at 72 h resulted in a significant increase in milk protein content to 14.9%. Characterisation of milk protein by SDS-PAGE analysis revealed 5 casein and 10 major whey protein bands. Amino-terminal sequencing indicated that the majority of the whey fraction of the milk is beta-lactoglobulin (beta-LG), The limited amino acid sequence indicated 3 different beta-LGs were secreted in the milk. Subsequently, RT-PCR was used to extend the sequence of one of the beta-LGs and translation of the 464 bp fragment indicated that it shared 79% sequence identity with feline beta-LG II. (c) 2005 Elsevier Inc. All rights reserved.</t>
  </si>
  <si>
    <t>Univ Melbourne, Dept Zool, CRC Innovat Dairy Prod, Melbourne, Vic 3010, Australia; Deakin Univ, Sch Biol &amp; Chem Sci, Burwood, Vic 3125, Australia</t>
  </si>
  <si>
    <t>University of Melbourne; Melbourne Bioinformatics; Deakin University</t>
  </si>
  <si>
    <t>Univ Melbourne, Dept Zool, CRC Innovat Dairy Prod, Melbourne, Vic 3010, Australia.</t>
  </si>
  <si>
    <t>k.nicholas@zoology.unimelb.edu.au</t>
  </si>
  <si>
    <t>1096-4959</t>
  </si>
  <si>
    <t>1879-1107</t>
  </si>
  <si>
    <t>COMP BIOCHEM PHYS B</t>
  </si>
  <si>
    <t>Comp. Biochem. Physiol. B-Biochem. Mol. Biol.</t>
  </si>
  <si>
    <t>10.1016/j.cbpc.2005.02.003</t>
  </si>
  <si>
    <t>Biochemistry &amp; Molecular Biology; Zoology</t>
  </si>
  <si>
    <t>920SJ</t>
  </si>
  <si>
    <t>WOS:000228710100014</t>
  </si>
  <si>
    <t>Sikes, EL; O'Leary, T; Nodder, SD; Volkman, JK</t>
  </si>
  <si>
    <t>Alkenone temperature records and biomarker flux at the subtropical front on the chatham rise, SW Pacific Ocean</t>
  </si>
  <si>
    <t>alkenones; U-37(K ') lipids; sea surface temperatum; sediment traps southern oceans; sterols</t>
  </si>
  <si>
    <t>Alkenones and a Suite of sterol biomarkers were examined in two sediment trap arrays deployed at 300m depth ill subtropical and subantarctic waters to the east of New Zealand from late winter to autumn in 1996-1997. The two traps were located within 200 km of one another and the main difference between the two sites are the differential physical, chemical. and biological characteristics of the different water masses in which they were situated. The alkellone-based reconstructions of water temperatures (U-37(K')) were compared to the COADS monthly averaged satellite and real-time weekly temperatures for the deployment period. The records correlate well with seasonal sea surface temperatures (SST) for the 9 months of the deployment, with temperature reconstructions within 2° C of regional monthly averages for most of the year. There are a few short periods of poorer agreement where alkenone-based reconstructions deviate by up to 4 ° C in both traps. Weekly averages of satellite SST obtained during the time of the deployment indicate that these deviations were not associated with short-term changes in surface temperatures overlying the traps. These instances of poor correlation are not due to lateral advection of particles, but rather seem to reflect differences in environmental controls on alkenone-derived SSTs in the two water masses. Subantarctic traps showed deviations only to warmer than average temperatures. These occurred in early winter and late Summer, during times of low lipid fluxes, suggesting that slow growth associated with light limitation may have affected unsaturation levels in the alkenones. The subtropical traps showed deviations only to cooler temperatures, which occurred in the late summer to early autumn. These biases occurred during times of highest lipid fluxes and lowest nutrients in the surface mixed-layer. Alkenone temperatures during maximum flux periods were too cool to be caused by subsurface production alone, suggesting that nutrient limitation effects may have significantly depressed alkenone unsaturation levels. Sterol biomarker associations indicate very different timing and trophic interactions between phytoplankton in the respective water masses. In subtropical waters. fluxes of dinosterol (a biomarker for dinoflagellates) peak first in the spring bloom while alkenones and diatom marker sterols respond synchronously during the main bloom event. In subantarctic waters sterol fluxes indicate a succession of phytoplankton export production in the spring bloom, whereas lipid fluxes normalized to organic flux indicate that alkenone producers were a relatively small proportion of the main spring bloom and proportionally more important when organic fluxes were lower in summer. We infer that the difference in nutrient concentrations between the water masses may drive these trophic differences and the inverse relationship between flux and the temperature response of U-37(K') between the two sites. © 2005 Elsevier Ltd. All rights reserved.</t>
  </si>
  <si>
    <t>Rutgers State Univ, Inst Marine &amp; Coastal Sci, New Brunswick, NJ 08901 USA; Cooperat Res Ctr Antarctic &amp; So Ocean Environm, Hobart, Tas 7001, Australia; Natl Inst Water &amp; Atmospher Res NIWA Ltd, Wellington, New Zealand; CSIRO, Marine Res &amp; Cooperat Res Ctr Antarctic &amp; So Ocea, Hobart, Tas 7001, Australia</t>
  </si>
  <si>
    <t>Rutgers University System; Rutgers University New Brunswick; National Institute of Water &amp; Atmospheric Research (NIWA) - New Zealand; Commonwealth Scientific &amp; Industrial Research Organisation (CSIRO)</t>
  </si>
  <si>
    <t>Sikes, EL (corresponding author), Rutgers State Univ, Inst Marine &amp; Coastal Sci, 71 Dudley Rd, New Brunswick, NJ 08901 USA.</t>
  </si>
  <si>
    <t>sikes@imes.rutgers.edu</t>
  </si>
  <si>
    <t>Volkman, John K/A-6592-2008; Sikes, Elisabeth/HPE-8194-2023</t>
  </si>
  <si>
    <t>Sikes, Elisabeth/0000-0003-2900-3283</t>
  </si>
  <si>
    <t>10.1016/j.dsr.2004.12.003</t>
  </si>
  <si>
    <t>923ZT</t>
  </si>
  <si>
    <t>WOS:000228948800004</t>
  </si>
  <si>
    <t>Romanov, YA; Romanova, NA</t>
  </si>
  <si>
    <t>Icebergs in the Australian sector of the Antarctic region</t>
  </si>
  <si>
    <t>DOKLADY EARTH SCIENCES</t>
  </si>
  <si>
    <t>Russian Acad Sci, Shirshov Inst Oceanol, Moscow 117997, Russia</t>
  </si>
  <si>
    <t>Russian Academy of Sciences; Shirshov Institute of Oceanology</t>
  </si>
  <si>
    <t>Russian Acad Sci, Shirshov Inst Oceanol, Nakhimovskii Pr 36, Moscow 117997, Russia.</t>
  </si>
  <si>
    <t>Romanov, Yury/S-6708-2016</t>
  </si>
  <si>
    <t>MAIK NAUKA/INTERPERIODICA/SPRINGER</t>
  </si>
  <si>
    <t>233 SPRING ST, NEW YORK, NY 10013-1578 USA</t>
  </si>
  <si>
    <t>1028-334X</t>
  </si>
  <si>
    <t>1531-8354</t>
  </si>
  <si>
    <t>DOKL EARTH SCI</t>
  </si>
  <si>
    <t>Dokl. Earth Sci.</t>
  </si>
  <si>
    <t>943RG</t>
  </si>
  <si>
    <t>WOS:000230371200036</t>
  </si>
  <si>
    <t>Camacho, A; Fernández-Valiente, E</t>
  </si>
  <si>
    <t>Camacho, A.; Fernandez-Valiente, E.</t>
  </si>
  <si>
    <t>A world dominated by microorganisms. Microbial ecology of Antarctic Lakes</t>
  </si>
  <si>
    <t>ECOSISTEMAS</t>
  </si>
  <si>
    <t>Antarctic climate is the hardest in the Earth. Climatic conditions limit biological diversity in Antarctic ecosystems compared to those from lower latitudes. However, Antarctic aquatic ecosystems, and especially those non-marine, which present free liquid water, represent a chance for life, which there can find oases in a frozen desert. Despite Antarctic lakes often present a dense ice cover, abiotic life restrictions are less extreme during Antarctic spring and summer, thus favouring the establishment of planktonic and benthic microbial communities, which include photoautotrophic and heterotrophic bacteria, protists (either photosynthetic, heterotrophic or mixotrophic) and, in those lakes from zones with less restrictive climate, metazooplankton, often copepods, that sometimes can exert an important role in controlling pelagic food webs. Microbial mats, which are mainly formed by cyanobacteria, are, on the other hand, the most characteristic benthic community within Antarctic lakes and wetlands.</t>
  </si>
  <si>
    <t>[Camacho, A.] Univ Valencia, Inst Cavanilles Biodiveridad &amp; Biol Evolut, Edificio Invst Jeroni Munoz,Campus Burjassot, E-46100 Valencia, Spain; [Camacho, A.] Univ Valencia, Dept Microbiol &amp; Ecol, E-46100 Valencia, Spain; [Fernandez-Valiente, E.] Univ Autonoma Madrid, Fac Ciencias, Dept Biol, E-28049 Madrid, Spain</t>
  </si>
  <si>
    <t>University of Valencia; University of Valencia; Autonomous University of Madrid</t>
  </si>
  <si>
    <t>Camacho, A (corresponding author), Univ Valencia, Inst Cavanilles Biodiveridad &amp; Biol Evolut, Edificio Invst Jeroni Munoz,Campus Burjassot, E-46100 Valencia, Spain.</t>
  </si>
  <si>
    <t>ASOCIACION ESPANOLA ECOLOGIA TERRESTRE</t>
  </si>
  <si>
    <t>MOSTOLES</t>
  </si>
  <si>
    <t>C/ TULIPSAN S-N, DEPT BIOLOGIA &amp; GEOLOGIA, UNIV REY JUAN CARLOS, MOSTOLES, 28933, SPAIN</t>
  </si>
  <si>
    <t>1697-2473</t>
  </si>
  <si>
    <t>Ecosistemas</t>
  </si>
  <si>
    <t>Ecology</t>
  </si>
  <si>
    <t>Emerging Sources Citation Index (ESCI)</t>
  </si>
  <si>
    <t>VB3DG</t>
  </si>
  <si>
    <t>WOS:000415366100005</t>
  </si>
  <si>
    <t>Rüber, L; Zardoya, R</t>
  </si>
  <si>
    <t>Rapid cladogenesis in marine fishes revisited</t>
  </si>
  <si>
    <t>EVOLUTION</t>
  </si>
  <si>
    <t>constant rate test; diversification rates; nonparametric rate smoothing; penalized likelihood; radiation</t>
  </si>
  <si>
    <t>ANTARCTIC NOTOTHENIOID FISHES; MITOCHONDRIAL CYTOCHROME-B; MOLECULAR EVOLUTION; DIVERSIFICATION RATES; DIVERGENCE TIMES; PHYLOGENETIC TREE; ABSOLUTE RATES; REEF FISHES; NULL MODEL; PERCIFORMES</t>
  </si>
  <si>
    <t>Lineages that underwent rapid cladogenesis are attractive systems for the study of mechanisms underlying taxonomic, ecological, morphological, and behavioral diversification. Recently developed statistical methods provide insights into historical patterns of diversity and allow distinguishing bursts of cladogenesis from stochastic background rates in the presence of confounding factors such as extinction and incomplete taxon sampling. Here, we compare the dynamics of speciation in several marine fish lineages some of which were previously proposed to have undergone significant changes of cladogenesis through time. We tested for evidence of episodes of rapid cladogenesis using the constant rate and Monte Carlo constant rate tests that are robust to incomplete taxon sampling. These tests employ the statistic gamma to measure the relative position of internal node in a chronogram. For the first time, we conducted a comparative analysis to address the behavior of the statistic under different chronogram-constructing methods (Langley-Fitch, nonparametric rate smoothing, and penalized likelihood). Although estimates of gamma sometimes differ widely among methods, acceptance or rejection of the constant rate model within a particular clade appears to be robust to the choice of method. Bursts of cladogenesis were detected in 14 of 34 studied datasets. Some of these were previously proposed to represent marine fish radiations, whereas others are identified anew. Our results indicate that the wider application of tree shape methods that are able to detect significantly elevated rates of speciation is useful to more precisely define clades that underwent episodes of rapid cladogenesis in marine fish clades. Contrasting the patterns of phylogenetic diversification in marine fish lineages may facilitate the identification of common evolutionary trajectories versus idiosyncrasies, and ultimately help towards a better understanding of the factors and processes underlying speciation in the marine realm.</t>
  </si>
  <si>
    <t>Museo Nacl Ciencias Nat, Dept Biodives &amp; Biol Evolut, Madrid 28006, Spain</t>
  </si>
  <si>
    <t>Consejo Superior de Investigaciones Cientificas (CSIC); CSIC - Museo Nacional de Ciencias Naturales (MNCN)</t>
  </si>
  <si>
    <t>ruber@mncn.csic.es; rafaz@mncn.csic.es</t>
  </si>
  <si>
    <t>Rüber, Lukas/D-5436-2013; Zardoya, Rafael/B-2291-2012</t>
  </si>
  <si>
    <t>Rüber, Lukas/0000-0003-0125-008X; Zardoya, Rafael/0000-0001-6212-9502</t>
  </si>
  <si>
    <t>0014-3820</t>
  </si>
  <si>
    <t>1558-5646</t>
  </si>
  <si>
    <t>Evolution</t>
  </si>
  <si>
    <t>Ecology; Evolutionary Biology; Genetics &amp; Heredity</t>
  </si>
  <si>
    <t>Environmental Sciences &amp; Ecology; Evolutionary Biology; Genetics &amp; Heredity</t>
  </si>
  <si>
    <t>930ZY</t>
  </si>
  <si>
    <t>WOS:000229456800017</t>
  </si>
  <si>
    <t>Emsley, SM; Tarling, GA; Burrows, MT</t>
  </si>
  <si>
    <t>The effect of vertical migration strategy on retention and dispersion in the Irish Sea during spring-summer</t>
  </si>
  <si>
    <t>FISHERIES OCEANOGRAPHY</t>
  </si>
  <si>
    <t>advection; Calanus; DVM; fish larvae; krill; Meganyctiphanes; midnight sinking; Nephrops</t>
  </si>
  <si>
    <t>NEPHROPS-NORVEGICUS L; CALANUS-FINMARCHICUS; PHYTOPLANKTON PRODUCTION; MEGANYCTIPHANES NORVEGICA; LARVAE; ZOOPLANKTON; COPEPOD; GYRE; CIRCULATION; BEHAVIOR</t>
  </si>
  <si>
    <t>A biophysical model of the Irish Sea was produced to predict net horizontal movement of key taxa including small copepods (Acartia, Pseudocalanus), large copepod species (Calanus finmarchicus and C. helgolandicus), the euphausiid Meganyctiphanes norvegica, and the larval stages of commercially important fish and Nephrops. The model coupled biological information on the vertical distribution and diel vertical migration (DVM) of these taxa with temporally resolved flow fields generated by a baroclinic hydrodynamic model. The DVM of Calanus spp. and Meganyctiphanes was parameterized empirically from data provided by a biophysical campaign carried out in the nearby Clyde Sea. Small copepods and larvae remained within the layers above the thermocline. Model organisms, programmed with particular behavioural patterns, were spaced at regular intervals (1/20 degrees longitude x 1/30 degrees latitude) in the model grid, which extended from 53 to 54.5 degrees N and 4.5 to 6.4 degrees W. The model was run over the months of April, May and June. Model simulations showed that the movement of model organisms followed one of four characteristic patterns: containment along the coast, advection to the north or south, stagnation in the centre of the gyre or circulation around the periphery of the gyre. The latter pattern was apparent even in April, when gyral circulation was not expected because of a lack of stratification in the water column. Thirty-day model runs in April, May and June showed that the number of organisms retained within the model grid varied between 23 and 49%. Those seeded close to the Irish coast had the highest probability of being retained within the model grid at the end of 90 days. DVM increased the probability of retention through improving the chances of organisms becoming entrained within the gyre circulation. This was especially true for Calanus spp., with those performing midnight sinking being the most likely to be retained out of any model organism. Meganyctiphanes showed comparatively lower levels of retention in deep regions, which suggests that they may have to swim against currents during certain phases of their DVM to avoid displacement. Overall, model results supported a number of hypotheses on the origin and fate of various taxa in the Irish Sea, as well as revealing some less expected distribution patterns.</t>
  </si>
  <si>
    <t>British Antarctic Survey, NERC, Cambridge CB3 0ET, England; Scottish Assoc Marine Sci, Dunstaffnage Marine Lab, Oban PA37 1QA, Argyll, Scotland</t>
  </si>
  <si>
    <t>UK Research &amp; Innovation (UKRI); Natural Environment Research Council (NERC); NERC British Antarctic Survey; UHI Millennium Institute</t>
  </si>
  <si>
    <t>gant@bas.ac.uk</t>
  </si>
  <si>
    <t>Burrows, Michael T/D-9844-2013; Burrows, Michael/ABF-4844-2020</t>
  </si>
  <si>
    <t>Burrows, Michael T/0000-0003-4620-5899; Burrows, Michael/0000-0003-4620-5899</t>
  </si>
  <si>
    <t>1054-6006</t>
  </si>
  <si>
    <t>1365-2419</t>
  </si>
  <si>
    <t>FISH OCEANOGR</t>
  </si>
  <si>
    <t>Fish Oceanogr.</t>
  </si>
  <si>
    <t>10.1111/j.1365-2419.2005.00327.x</t>
  </si>
  <si>
    <t>Fisheries; Oceanography</t>
  </si>
  <si>
    <t>917SN</t>
  </si>
  <si>
    <t>WOS:000228489600001</t>
  </si>
  <si>
    <t>Laybourn-Parry, J; Marshall, WA; Marchant, HJ</t>
  </si>
  <si>
    <t>Flagellate nutritional versatility as a key to survival in two contrasting Antarctic saline lakes</t>
  </si>
  <si>
    <t>FRESHWATER BIOLOGY</t>
  </si>
  <si>
    <t>Antarctic; cryptophytes; flagellates; mixotrophy; photosynthesis; saline lakes</t>
  </si>
  <si>
    <t>DRY VALLEY LAKES; FRESH-WATER; MIXOTROPHIC CRYPTOPHYTES; PLANKTON DYNAMICS; CELL-VOLUME; PHYTOPLANKTON; CARBON; PHOTOSYNTHESIS; BACTERIOPLANKTON; PHYTOFLAGELLATE</t>
  </si>
  <si>
    <t>1. Seasonal patterns of grazing and photosynthesis were investigated in two saline Antarctic lakes (Highway and Ace) in the Vestfold Hills (68 degrees S). The phototrophic nanoflagellate (PNAN) community was dominated by Pyramimonas gelidicola and two morphological forms of a cryptophyte species that occurred throughout the year. Both species were mixotrophic on bacteria, and in Highway Lake they also exploited dissolved organic carbon as determined by the uptake of fluorescently labelled dextrans. 2. Clearance rates ranged between 0.02 and 0.21 nL h(-1) cell(-1) in Ace Lake and 0.004-1.05 nL h(-1) cell(-1) in Highway Lake. On occasion cryptophyte grazing equalled that of the heterotrophic nanoflagellates (HNAN). 3. Photosynthetic rates showed similar trends in both lakes, but there were differences in chlorophyll a specific rates and photosynthetic efficiency, probably related to the meromictic characteristic of Ace Lake. Primary production was measurable in winter and peaked in summer following the maxima of mixotroph grazing. 4. The HNAN community of Highway Lake achieved clearance rates of 0.02-1.80 nL h(-1) cell(-1) and removing between 50 and 693 ng bacterial carbon L-1 day(-1), with highest impact in winter when HNAN were most abundant. The HNAN also ingested fluorescently labelled dextrans showing a preference for 4 and 500 kDa molecules. The more diverse HNAN community of Ace Lake had lower clearance rates (0.04-0.37 nL h(-1) cell(-1)) and exerted a lower grazing pressure on bacterioplankton. In Highway Lake, where the HNAN community was dominated by the choanoflagellate Diaphanoeca grandis, there was a significant correlation between mean cell volume and clearance rate. 5. The major feature was that the microbial plankton functioned throughout the year by employing nutritional versatility.</t>
  </si>
  <si>
    <t>Univ Nottingham, Sch Biosci, Nottingham NG7 2RD, England; Australian Antarctic Div, Kingston, Tas 7050, Australia</t>
  </si>
  <si>
    <t>University of Nottingham; Australian Antarctic Division</t>
  </si>
  <si>
    <t>Univ Nottingham, Sch Biosci, Univ Pk, Nottingham NG7 2RD, England.</t>
  </si>
  <si>
    <t>j.laybourn-parry@nottingham.ac.uk</t>
  </si>
  <si>
    <t>0046-5070</t>
  </si>
  <si>
    <t>1365-2427</t>
  </si>
  <si>
    <t>FRESHWATER BIOL</t>
  </si>
  <si>
    <t>Freshw. Biol.</t>
  </si>
  <si>
    <t>10.1111/j.1365-2427.2005.01369.x</t>
  </si>
  <si>
    <t>920LL</t>
  </si>
  <si>
    <t>WOS:000228690300008</t>
  </si>
  <si>
    <t>Lifton, NA; Bieber, JW; Clem, JM; Duldig, ML; Evenson, P; Humble, JE; Pyle, R</t>
  </si>
  <si>
    <t>Solar modulation and scaling in situ cosmogenic nuclide production rates</t>
  </si>
  <si>
    <t>15th Annual V M Goldschmidt Conference</t>
  </si>
  <si>
    <t>MAY, 2005</t>
  </si>
  <si>
    <t>Moscow, ID</t>
  </si>
  <si>
    <t>Univ Arizona, Dept Geosci, Tucson, AZ 85721 USA; Univ Delaware, Bartol Res Inst, Newark, DE 19716 USA; Australian Antarctic Div, Kingston, Tas 7050, Australia; Univ Tasmania, Sch Math &amp; Phys, Hobart, Tas 7001, Australia</t>
  </si>
  <si>
    <t>University of Arizona; University of Delaware; Australian Antarctic Division; University of Tasmania</t>
  </si>
  <si>
    <t>lifton@geo.arizona.edu; john@bartol.udel.edu; clem@bartol.udel.edu; Marc.Duldig@aad.gov.au; penguin@bartol.udel.edu; john.humble@utas.edu.au; pyle@bartol.udel.edu</t>
  </si>
  <si>
    <t>Lifton, Nathaniel/M-2017-2015</t>
  </si>
  <si>
    <t>Lifton, Nathaniel/0000-0002-6976-3298</t>
  </si>
  <si>
    <t>1872-9533</t>
  </si>
  <si>
    <t>A166</t>
  </si>
  <si>
    <t>930EX</t>
  </si>
  <si>
    <t>WOS:000229399700323</t>
  </si>
  <si>
    <t>Lyons, WB; Dowling, C; Welch, KA; Synder, G; Poreda, RJ; Doran, PT; Fountain, A</t>
  </si>
  <si>
    <t>Dating water and solute additions to ice-covered Antarctic lakes</t>
  </si>
  <si>
    <t>Ohio State Univ, Dept Geol Sci, Byrd Polar Res Ctr, Columbus, OH 43210 USA; Arkansas State Univ, Dept Chem &amp; Phys, State Univ, AR 72467 USA; Rice Univ, Dept Geol Sci, Houston, TX 77251 USA; Univ Rochester, Dept Earth &amp; Environm Sci, Rochester, NY 14627 USA; Univ Illinois, Dept Earth &amp; Environm Sci, Chicago, IL 60607 USA; Portland State Univ, Dept Geol &amp; Geog, Portland, OR 97207 USA</t>
  </si>
  <si>
    <t>University System of Ohio; Ohio State University; Arkansas State University; Rice University; University of Rochester; University of Illinois System; University of Illinois Chicago; University of Illinois Chicago Hospital; Portland State University</t>
  </si>
  <si>
    <t>lyons.142@osu.edu; cdowling@astate.edu; welch.189@osu.edu; gsnyder@rice.edu; poread@earth.rochester.edu; pdoran@uic.edu; andrew@pdx.edu</t>
  </si>
  <si>
    <t>Office of Polar Programs (OPP); Directorate For Geosciences [1041742, 0832755] Funding Source: National Science Foundation</t>
  </si>
  <si>
    <t>Office of Polar Programs (OPP); Directorate For Geosciences(National Science Foundation (NSF)NSF - Directorate for Geosciences (GEO))</t>
  </si>
  <si>
    <t>A720</t>
  </si>
  <si>
    <t>WOS:000229399702216</t>
  </si>
  <si>
    <t>Mystery of the volcanic mass-independent sulfur isotope fractionation signature in the antarctic ice-core</t>
  </si>
  <si>
    <t>Pavlov, Alexander A./F-3779-2012</t>
  </si>
  <si>
    <t>Pavlov, Alexander A./0000-0001-8771-1646</t>
  </si>
  <si>
    <t>A446</t>
  </si>
  <si>
    <t>WOS:000229399701277</t>
  </si>
  <si>
    <t>Borisova, TD; Blagoveshchenskaya, NF; Kornienko, VA; Rietveld, MT; Thidé, B; Leyser, TB</t>
  </si>
  <si>
    <t>Ionospheric effects observed when the Tromso HF heating facility was turned on/off</t>
  </si>
  <si>
    <t>GEOMAGNETISM AND AERONOMY</t>
  </si>
  <si>
    <t>IRREGULARITIES; STRIATIONS; LATITUDES; PLASMA; FIELD</t>
  </si>
  <si>
    <t>The behavior of the spectra of diagnostic HF radiosignals on the London-Tromso-St. Petersburg and Pori (Finland)-Tromso-St. Petersburg paths when the high-power HF heating facility (EISCAT, Tromso, Norway) was turned on/off in the periods of experimental modification of the ionosphere has been studied. It has been indicated that the short-term additional maximums in the Doppler spectrum of a diagnostic HF signal during the appearance and/or disappearance of a pump wave are observed when the frequency of this wave is higher than the critical frequency of the ionospheric plasma but is close to the upper hybrid frequency. The conditions of formation of the resonance or thermal parametric instability are formed owing to the nonlinear processes in the anisotropic ionospheric plasma initiated when a high-power HF heating transmitter is turned on/off. The rate of ionospheric plasma extrusion from the region of interaction between a powerful wave and ionospheric plasma reaches 200 m/s.</t>
  </si>
  <si>
    <t>Russian Acad Sci, Arctic &amp; Antarctic Res Inst, St Petersburg 199397, Russia; EISCAT, Tromso, Norway; Inst Space Phys, Uppsala, Sweden</t>
  </si>
  <si>
    <t>Arctic &amp; Antarctic Research Institute; Russian Academy of Sciences</t>
  </si>
  <si>
    <t>Russian Acad Sci, Arctic &amp; Antarctic Res Inst, Ul Beringa 38, St Petersburg 199397, Russia.</t>
  </si>
  <si>
    <t>borisova@aari.nw.ru</t>
  </si>
  <si>
    <t>Thide, Bo/B-7734-2009; Borisova, Tatiana/AAK-7698-2020; Blagoveshchenskaya, Nataly/S-4342-2017</t>
  </si>
  <si>
    <t>Blagoveshchenskaya, Nataly/0000-0003-1752-3273; Borisova, Tatiana/0000-0003-1727-5310</t>
  </si>
  <si>
    <t>0016-7932</t>
  </si>
  <si>
    <t>1555-645X</t>
  </si>
  <si>
    <t>GEOMAGN AERONOMY+</t>
  </si>
  <si>
    <t>Geomagn. Aeron.</t>
  </si>
  <si>
    <t>938EY</t>
  </si>
  <si>
    <t>WOS:000229983900010</t>
  </si>
  <si>
    <t>Schut, EW; Uenzelmann-Neben, G</t>
  </si>
  <si>
    <t>Cenozoic bottom current sedimentation in the Cape basin, South Atlantic</t>
  </si>
  <si>
    <t>GEOPHYSICAL JOURNAL INTERNATIONAL</t>
  </si>
  <si>
    <t>Agulhas Ridge; Leg 177; Ocean Drilling Program; reflection seismology; sedimentation; South Atlantic</t>
  </si>
  <si>
    <t>MARSHALL PARACONFORMITY; EVOLUTION; OCEAN; CIRCULATION; HISTORY; RISE</t>
  </si>
  <si>
    <t>The Agulhas Ridge, which rises up to 2.5 km over the ocean floor of the adjacent Cape and Agulhas basins, located along the Falkland-Agulhas fracture zone, acts as a barrier for northward flowing deep-water masses, deflecting them along the bathymetric contours of the Agulhas Ridge. Seismic data recorded over the Agulhas Ridge shows that the sediments transported by these deep-water currents accumulate in contourite drifts. Several hundred metres of sediments have accumulated since the onset of intrusion of Antarctic Bottom Water (AABW) derived water masses into the basins of the South Atlantic. An erosional surface in early Oligocene sediments appears to mark a prominent change in the sedimentation pattern. Up to this event, strong and varying currents formed a rapidly accumulating sheet of sediments subdivided into units with significant seismic impedance contrasts and thus strong reflections in the seismic image of these sediments. After the early Oligocene erosional event, a stable unidirectional bottom current was established, with sedimentation of mainly muddy material, leading to the formation of a more than 200-km-long, approximately 30-km-wide elongate contourite drift. A period of non-deposition during the middle Miocene is followed by an increase of well-defined seismostratigraphic units, most pronounced for sediments of Quaternary age. This suggests that build-up of the drift structure generally continued, with alternating episodes of erosion and sedimentation in response to glacial cycles.</t>
  </si>
  <si>
    <t>Alfred Wegener Inst Polar &amp; Marine Res, D-27568 Bremerhaven, Germany</t>
  </si>
  <si>
    <t>Schut, EW (corresponding author), Alfred Wegener Inst Polar &amp; Marine Res, Alten Hafen 26, D-27568 Bremerhaven, Germany.</t>
  </si>
  <si>
    <t>Uenzelmann-Neben, Gabriele/AAI-8618-2020</t>
  </si>
  <si>
    <t>Uenzelmann-Neben, Gabriele/0000-0002-0115-5923</t>
  </si>
  <si>
    <t>0956-540X</t>
  </si>
  <si>
    <t>1365-246X</t>
  </si>
  <si>
    <t>GEOPHYS J INT</t>
  </si>
  <si>
    <t>Geophys. J. Int.</t>
  </si>
  <si>
    <t>10.1111/j.1365-246X.2005.02578.x</t>
  </si>
  <si>
    <t>921DR</t>
  </si>
  <si>
    <t>WOS:000228744900009</t>
  </si>
  <si>
    <t>Verzhbitsky, EV; Neprochnov, YP</t>
  </si>
  <si>
    <t>Deep structure of the central Indian Ocean inferred from geophysical data</t>
  </si>
  <si>
    <t>GEOTECTONICS</t>
  </si>
  <si>
    <t>INDO-AUSTRALIAN PLATE; INTRAPLATE DEFORMATION; SEISMIC-REFRACTION; CRUSTAL STRUCTURE; HEAT-FLOW; BASIN; RIDGE; TECTONICS; EVOLUTION; BATHYMETRY</t>
  </si>
  <si>
    <t>The integrated analysis of data on the heat flow and deep structure of the Earth's crust in the central Indian Ocean reveals additional heat sources (10-20 mW/m(2)) beneath zones of tectonic deformations in the Central, Wharton, and Arabian basins that are inconsistent with the geothermal model of lithosphere cooling. These sources may be related to serpentinization of ultramafic rocks. This is confirmed by the seismic Layer 3B with velocities of 7.2-7.6 km./s characteristic of serpentinite is traceable in the lower crust. In contrast to these basins, the heat-flow distribution in the Crozet Basin is consistent with the theoretical geothermal curve. The lack of an additional heat source beneath this basin implies that serpentinites are absent here, as is evident from DSS records (the lack of Layer 3B), and is in agreement with the low seismicity of the basin. Despite the appreciable difference in the geodynamic regime of the respective plates, the spreading rate decreased approximately twofold about 50 Ma ago in the Central and Arabian basins (Indian Plate) and in the Crozet Basin (Antarctic Plate).</t>
  </si>
  <si>
    <t>Russian Acad Sci, Shirshov Inst Oceanol, Moscow 117851, Russia</t>
  </si>
  <si>
    <t>Verzhbitsky, EV (corresponding author), Russian Acad Sci, Shirshov Inst Oceanol, Nakhimovskii Pr 36, Moscow 117851, Russia.</t>
  </si>
  <si>
    <t>INTERPERIODICA</t>
  </si>
  <si>
    <t>BIRMINGHAM</t>
  </si>
  <si>
    <t>PO BOX 1831, BIRMINGHAM, AL 35201-1831 USA</t>
  </si>
  <si>
    <t>0016-8521</t>
  </si>
  <si>
    <t>GEOTECTONICS+</t>
  </si>
  <si>
    <t>Geotectonics</t>
  </si>
  <si>
    <t>938PP</t>
  </si>
  <si>
    <t>WOS:000230015600004</t>
  </si>
  <si>
    <t>Zachos, JC; Kump, LR</t>
  </si>
  <si>
    <t>Carbon cycle feedbacks and the initiation of Antarctic glaciation in the earliest Oligocene</t>
  </si>
  <si>
    <t>GLOBAL AND PLANETARY CHANGE</t>
  </si>
  <si>
    <t>carbon cycle; Antarctic glaciation; Oligocene</t>
  </si>
  <si>
    <t>ABRUPT CLIMATE-CHANGE; ATMOSPHERIC CO2; STABLE-ISOTOPE; ICE-SHEET; SEDIMENTOLOGICAL EVIDENCE; GLOBAL DISTRIBUTION; PHANEROZOIC TIME; REVISED MODEL; EOCENE; OCEAN</t>
  </si>
  <si>
    <t>The initiation of Antarctic glaciation in the early Oligocene (similar to 34 Ma) is represented by a distinct positive anomaly in the marine delta(18)O record designated Oi-I and accompanied by positive excursions in the mean delta(13)C of oceanic dissolved inorganic carbon and biogenic sediment accumulation rates. Within 400 ky of the onset of Oi-1, the climate system settled into a more moderate but stable glacial state. Here, through modeling, we investigate two of the principal biogeochemical processes involved in this response: silicate weathering and marine organic carbon cycling. We initiate the event with a rapid drawdown in atmospheric CO(2) resulting from increased weatherability of the continents associated with Himalayan orogeny. This perturbation triggers the overshoot and adjustment of the delta(18)O record because of feedback among ice-sheet coverage, silicate weathering rates, and atmospheric CO(2). The system is a damped oscillator, the strength of which depends on the sensitivity of chemical weathering rates to climate change and climate to changes in atmospheric CO(2). Increased oceanic mixing associated with initial transition into a glacial world accelerates the rates of biological productivity and carbon burial, lowering atmospheric CO(2) and accelerating global cooling and ice-sheet growth, and generating a carbon isotope response that crudely approximates that observed. The Oi-1 overshoot appears to require a rapid (&lt; 1 million year) application of the forcing (e.g., tectonic drawdown of atmospheric CO(2))Although further investigation and more sophisticated models ultimately may show that other triggers and feedbacks prevailed during Oi-1, the modeling presented here demonstrates that simple feedbacks in the climate system can explain the overshoot and adjustment response to early Oligocene climate forcing. (c) 2005 Elsevier B.V. All rights reserved.</t>
  </si>
  <si>
    <t>Univ Calif Santa Cruz, Dept Earth Sci, Santa Cruz, CA 95064 USA; Penn State Univ, Dept Geosci, University Pk, PA 16802 USA; Penn State Univ, Astrobiol Res Ctr, University Pk, PA 16802 USA</t>
  </si>
  <si>
    <t>University of California System; University of California Santa Cruz;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</si>
  <si>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Zachos, JC (corresponding author), Univ Calif Santa Cruz, Dept Earth Sci, Santa Cruz, CA 95064 USA.</t>
  </si>
  <si>
    <t>jzachos@es.ucsc.edu</t>
  </si>
  <si>
    <t>Kump, Lee R/H-8287-2012; Zachos, James/A-7674-2008</t>
  </si>
  <si>
    <t>Zachos, James/0000-0001-8439-1886</t>
  </si>
  <si>
    <t>0921-8181</t>
  </si>
  <si>
    <t>GLOBAL PLANET CHANGE</t>
  </si>
  <si>
    <t>Glob. Planet. Change</t>
  </si>
  <si>
    <t>10.1016/j.gloplacha.2005.01.001</t>
  </si>
  <si>
    <t>944ZE</t>
  </si>
  <si>
    <t>WOS:000230469000004</t>
  </si>
  <si>
    <t>Reid, K; Croxall, JP; Briggs, DR; Murphy, EJ</t>
  </si>
  <si>
    <t>Antarctic ecosystem monitoring: quantifying the response of ecosystem indicators to variability in Antarctic krill.</t>
  </si>
  <si>
    <t>Symposium on Quantitative Ecosystem Indicators for Fisheries Management</t>
  </si>
  <si>
    <t>MAR 31-APR 03, 2004</t>
  </si>
  <si>
    <t>UNESCO, Intergovernmental Oceanog Commiss, Paris, FRANCE</t>
  </si>
  <si>
    <t>UNESCO, Intergovernmental Oceanog Commiss</t>
  </si>
  <si>
    <t>Antarctic; ecosystem monitoring; predator; scale</t>
  </si>
  <si>
    <t>SEALS ARCTOCEPHALUS-GAZELLA; SOUTH-GEORGIA; MARINE ECOSYSTEM; FUR SEALS; MANAGING FISHERIES; SEABIRDS; DIET; PREDATORS; CCAMLR; AVAILABILITY</t>
  </si>
  <si>
    <t>The utility of upper-trophic-level species as ecosystem indicators is determined by our ability to relate changes in indices of their performance to changes at lower trophic levels. Such relationships were assessed using indices of predator performance (response vectors) for four predator species, together with independent ship-based acoustic estimates of abundance of their main prey, Antarctic krill (Euphausia superba), from South Georgia in the South Atlantic Ocean. Out of 32 response vectors investigated, 13 showed a significant non-linear relationship, based on a Holling Type II response, to krill abundance, and just five showed a significant linear relationship. Predator responses reflecting the processes during summer, when prey surveys were undertaken, showed the closest relationship with prey abundance. Distinct relationships existed between the variability of indices and the biological processes they measured. Body mass variables had the lowest variability (CVs &lt; 10%), whereas those measuring breeding success showed the greatest variability (CVs &gt; 50%). Multivariate indices, produced by combining response vectors from all four predator species into a single combined index, provided a better fit with krill data than any of the individual vectors. Whereas population size parameters for individual species showed no relationship with annual estimates of krill abundance, a combined, multispecies population size index did show a significant response. Understanding the form of the relationship between concurrent indicators of prey abundance and key ecosystem metrics/reference points, such as population size, is crucial to the application of monitoring data to management action. (c) 2004 International Council for the Exploration of the Sea. Published by Elsevier Ltd. All rights reserved.</t>
  </si>
  <si>
    <t>Reid, K (corresponding author), British Antarctic Survey, NERC, High Cross,Madingley Rd, Cambridge CB3 0ET, England.</t>
  </si>
  <si>
    <t>k.reid@bas.ac.uk</t>
  </si>
  <si>
    <t>murphy, eugene/GZL-1620-2022</t>
  </si>
  <si>
    <t>ACADEMIC PRESS LTD ELSEVIER SCIENCE LTD</t>
  </si>
  <si>
    <t>24-28 OVAL RD, LONDON NW1 7DX, ENGLAND</t>
  </si>
  <si>
    <t>10.1016/j.icesjms.2004.11.003</t>
  </si>
  <si>
    <t>920QT</t>
  </si>
  <si>
    <t>WOS:000228705900010</t>
  </si>
  <si>
    <t>Eymard, L; Obligis, E; Tran, N; Karbou, F; Dedieu, M</t>
  </si>
  <si>
    <t>Long-term stability of ERS-2 and TOPEX microwave radiometer in-flight calibration</t>
  </si>
  <si>
    <t>IEEE TRANSACTIONS ON GEOSCIENCE AND REMOTE SENSING</t>
  </si>
  <si>
    <t>8th Specialist Meeting on Microwave Radiometry and Remote Sensing Applications</t>
  </si>
  <si>
    <t>FEB 24-27, 2004</t>
  </si>
  <si>
    <t>Univ Rome La Sapienza, Engn Coll, Rome, ITALY</t>
  </si>
  <si>
    <t>Univ Rome La Sapienza, Engn Coll</t>
  </si>
  <si>
    <t>calibration; microwave radiometry; receiver stability; satellite</t>
  </si>
  <si>
    <t>ABOARD ERS-1; TEMPERATURE; WATER; JASON; MODEL; TMR</t>
  </si>
  <si>
    <t>The microwave radiometers on altimeter missions are specified to provide the wet troposphere path delay with an uncertainty of 1 cm or lower, at the location of the altimeter footprint. The constraints on the calibration and stability of these instruments are therefore particularly stringent. The paper addresses the questions of long-term stability and absolute Calibration of the National Aeronautics and Space Administration Topography Experiment (TOPEX) and European Space Agency European Remote Sensing 2 (ERS-2) radiometers over the entire range of brightness temperatures. Selecting the coldest measurements over ocean from the two radiometers, the drift of the TOPEX radiometer 18-GHz channel is confirmed to be about 0.2 K/year over the seven first years of the mission, and the one of the ERS-2 radiometer 23.8-GHz channel to be -0.2 K/year. The good stability of the other channels is confirmed (drift less than 0.04 K/year). The use of continental targets for analyzing the long-term drift is evaluated: the natural interannual variability prevents one from directly monitoring the drift of each channel, but the relative variation between two channels of the same instrument is found reliable. Over cold areas (Antarctic and Greenland plateau), results are consistent with the cold ocean analysis. Intercomparison of radiometer absolute calibrations is performed over the same continental area, leading to an anomalously high difference between channels 36.5 and 37 GHz of the ERS-2 and TOPEX radiometers, respectively, over hot targets (Sahara desert and Amazon forest). To quantify and analyze this difference, other radiometer measurements are analyzed over the Amazon forest, from the Special Sensor Microwave Imager (SSM/I) and the Advanced Microwave Sounding Unit (AMSU). Biases are confirmed for both TOPEX and ERS-2 radiometers by comparing brightness temperatures and derived surface emissivities: the TOPEX radiometer channels exhibit a negative bias with respect to SSM/I and AMSU-A, whereas the ERS-2 radiometer 36.5-GHz channel is positively biased, by several kelvin in brightness temperature in both cases. The method presented here could be used for controlling the in-flight calibration of any radiometer, and correct for remaining calibration errors after launch.</t>
  </si>
  <si>
    <t>Ctr Etude Environm Terrestre &amp; Planetaire, F-31520 Ramonville St Agne, France; Collecte Localisat Satellites, F-31520 Ramonville St Agne, France; IPSL, CNRS, F-75252 Paris, France</t>
  </si>
  <si>
    <t>Universite Paris Cite; Centre National de la Recherche Scientifique (CNRS)</t>
  </si>
  <si>
    <t>CNRS, IPSL, LOCEAN, F-75232 Paris, France.</t>
  </si>
  <si>
    <t>Laurence.Eymard@lodyc.jussieu.fr; michel.dedieu@cetp.ipsl.fr</t>
  </si>
  <si>
    <t>Karbou, Fatima/AAF-1870-2019</t>
  </si>
  <si>
    <t>Karbou, Fatima/0000-0003-3499-2557</t>
  </si>
  <si>
    <t>IEEE-INST ELECTRICAL ELECTRONICS ENGINEERS INC</t>
  </si>
  <si>
    <t>PISCATAWAY</t>
  </si>
  <si>
    <t>445 HOES LANE, PISCATAWAY, NJ 08855-4141 USA</t>
  </si>
  <si>
    <t>0196-2892</t>
  </si>
  <si>
    <t>1558-0644</t>
  </si>
  <si>
    <t>IEEE T GEOSCI REMOTE</t>
  </si>
  <si>
    <t>IEEE Trans. Geosci. Remote Sensing</t>
  </si>
  <si>
    <t>10.1109/TGRS.2005.846129</t>
  </si>
  <si>
    <t>Geochemistry &amp; Geophysics; Engineering, Electrical &amp; Electronic; Remote Sensing; Imaging Science &amp; Photographic Technology</t>
  </si>
  <si>
    <t>Geochemistry &amp; Geophysics; Engineering; Remote Sensing; Imaging Science &amp; Photographic Technology</t>
  </si>
  <si>
    <t>920ES</t>
  </si>
  <si>
    <t>WOS:000228672800025</t>
  </si>
  <si>
    <t>Nedashkovskaya, OI; Vancanneyt, M; Dawyndt, P; Engelbeen, K; Vandemeulebroecke, K; Cleenwerck, I; Hoste, B; Mergaert, J; Tan, TL; Frolova, GM; Mikhailov, VV; Swings, J</t>
  </si>
  <si>
    <t>Reclassification of [Cytophaga] marinoflava Relchenbach 1989 as Leeuwenhoekiella marinoflava gen. nov., comb. nov and description of Leeuwenhoekiella aequorea sp nov.</t>
  </si>
  <si>
    <t>INTERNATIONAL JOURNAL OF SYSTEMATIC AND EVOLUTIONARY MICROBIOLOGY</t>
  </si>
  <si>
    <t>ALGA ULVA-FENESTRATA; FAMILY FLAVOBACTERIACEAE; MARINE BACTERIUM; DEOXYRIBONUCLEIC-ACID; PHYLOGENETIC ANALYSIS; EMENDED DESCRIPTION; LEWIN 1969; SEA-ICE; BACTEROIDES; MEMBER</t>
  </si>
  <si>
    <t>Five heterotrophic, aerobic, halotolerant and pigmented bacterial strains with gliding motility were isolated from Antarctic sea water; one other isolate was collected from the sea urchin Strongylocentrotus intermedius in the Gulf of Peter the Great in the Sea of Japan. 16S rRNA gene sequence analysis indicated that the strains are members of the family Flavobacteriaceae, the nearest neighbour (with 97-1% sequence similarity) being the misclassified species [Cytophaga] marinoflava. DNA-DNA hybridization experiments and chemotaxonomic and phenotypic analyses demonstrated that the six novel isolates represent a single species distinct from [C.] marinoflava. On the basis of its separate phylogenetic lineage (the nearest neighbours show 92% sequence similarity), [C.] marinoflava is reclassified as Leeuwenhoekiella marinoflava gen, nov., comb. nov. A second species of this new genus, Leeuwenhoekiella aequorea sp. nov., is proposed for the six novel isolates, with strain LMG 22550(T) (=CCUG 50091(T)) as the type strain.</t>
  </si>
  <si>
    <t>Russian Acad Sci, Pacific Inst Bioorgan Chem, Far Eastern Branch, Vladivostok 690022, Russia; State Univ Ghent, BCCM LMG Bacteria Collect, B-9000 Ghent, Belgium; State Univ Ghent, Microbiol Lab, B-9000 Ghent, Belgium</t>
  </si>
  <si>
    <t>Russian Academy of Sciences; Elyakov Pacific Institute of Bioorganic Chemistry; Ghent University; Ghent University</t>
  </si>
  <si>
    <t>Russian Acad Sci, Pacific Inst Bioorgan Chem, Far Eastern Branch, Pr 100 Let Valdivostoku 159, Vladivostok 690022, Russia.</t>
  </si>
  <si>
    <t>olganedashkovska@yahoo.com</t>
  </si>
  <si>
    <t>Nedashkovskaya, Olga I./M-6792-2013; Mikhailov, Valery V/M-6780-2013; Dawyndt, Peter SR/A-1566-2013; Cleenwerck, Ilse/X-1168-2019</t>
  </si>
  <si>
    <t>Nedashkovskaya, Olga/0000-0002-2637-4372; Cleenwerck, Ilse/0000-0001-9943-4199; Vandemeulebroecke, Katrien/0000-0002-0220-6892; Dawyndt, Peter/0000-0002-1623-9070</t>
  </si>
  <si>
    <t>MICROBIOLOGY SOC</t>
  </si>
  <si>
    <t>CHARLES DARWIN HOUSE, 12 ROGER ST, LONDON WC1N 2JU, ERKS, ENGLAND</t>
  </si>
  <si>
    <t>1466-5026</t>
  </si>
  <si>
    <t>1466-5034</t>
  </si>
  <si>
    <t>INT J SYST EVOL MICR</t>
  </si>
  <si>
    <t>Int. J. Syst. Evol. Microbiol.</t>
  </si>
  <si>
    <t>10.1099/ijs.0.63410-0</t>
  </si>
  <si>
    <t>929RE</t>
  </si>
  <si>
    <t>WOS:000229362700008</t>
  </si>
  <si>
    <t>Zalesny, VB; Ivchenko, VO</t>
  </si>
  <si>
    <t>Influence of anomalous regimes in the Southern Ocean on equatorial dynamics</t>
  </si>
  <si>
    <t>IZVESTIYA ATMOSPHERIC AND OCEANIC PHYSICS</t>
  </si>
  <si>
    <t>ANTARCTIC CIRCUMPOLAR WAVE; SEA-ICE EXTENT; WEDDELL SEA; EL-NINO; CIRCULATION; OSCILLATION; VARIABILITY; MODEL; RESOLUTION; CLIMATE</t>
  </si>
  <si>
    <t>Rapid transfer of a signal from the high latitudes of the Southern Ocean to the tropical/equatorial ocean is studied using a model based on the total system of equations of the general circulation. This study is focused on two problems: the formation of equilibrium climatological regimes under the influence of prescribed surface wind stress, temperature, and salinity (the first problem) and the rapid response of the tropical/equatorial ocean to local salinity anomalies in the Southern Ocean (the second problem). These problems are addressed via numerical experiments in an idealized computational domain consisting of a periodic zonal channel simulating the Southern Ocean and a rectangular basin adjacent to the channel's northern boundary which simulates the Pacific. The equilibrium numerical solution is compared with climatological temperature and salinity distributions. The influence of external parameters (such as the initial temperature and salinity, friction coefficient, bottom topography, and parametrization of convection) on the characteristics of the thermolialine circulation is studied. The experiments show that different stationary regimes develop under identical external forcing specified on the surface. Two regimes can be singled out: a warm salty and a cold fresh ocean. The main question in the second problem is whether the ocean can play an active role in the formation of short-term climatic variability such as El Nino. What is the mechanism for the propagation of a signal from the high latitudes of the Southern Ocean to the tropics? A wavelike mechanism for the quick response of the equatorial ocean to processes occurring in the high latitudes of the Southern Ocean is found. It is shown that a signal generated at the Southern Ocean surface by local salinity anomalies can quickly propagate to the western boundary as a barotropic Rossby wave and then propagate northward along the coast as a Kelvin wave, reaching the equator. The anomaly in the western equatorial Pacific then propagates eastward along the equator as a trapped equatorial Kelvin wave generating a temperature anomaly in the El Nino region.</t>
  </si>
  <si>
    <t>Russian Acad Sci, Inst Numer Math, Moscow 119991, Russia; Oceanog Ctr, Southampton, Hants, England</t>
  </si>
  <si>
    <t>Russian Academy of Sciences; NERC National Oceanography Centre</t>
  </si>
  <si>
    <t>Zalesny, VB (corresponding author), Russian Acad Sci, Inst Numer Math, Ul Gubkina 8, Moscow 119991, Russia.</t>
  </si>
  <si>
    <t>zalesny@inm.ras.ru</t>
  </si>
  <si>
    <t>0001-4338</t>
  </si>
  <si>
    <t>IZV ATMOS OCEAN PHY+</t>
  </si>
  <si>
    <t>Izv. Atmos. Ocean. Phys.</t>
  </si>
  <si>
    <t>Meteorology &amp; Atmospheric Sciences; Oceanography</t>
  </si>
  <si>
    <t>939DL</t>
  </si>
  <si>
    <t>WOS:000230052500004</t>
  </si>
  <si>
    <t>Renard, JB; Chipperfield, MP; Berthet, G; Goffinont-Taupin, F; Robert, C; Chartier, M; Roscoe, H; Feng, WH; Rivière, E; Pirre, M</t>
  </si>
  <si>
    <t>NO3 vertical profile measurements from remote sensing balloon-borne spectrometers and comparison with model calculations</t>
  </si>
  <si>
    <t>JOURNAL OF ATMOSPHERIC CHEMISTRY</t>
  </si>
  <si>
    <t>balloon-borne; NO3; stratosphere; steady-state; 3D CTM</t>
  </si>
  <si>
    <t>ABSORPTION-SPECTRUM; STRATOSPHERIC NO3; SPECTROSCOPY</t>
  </si>
  <si>
    <t>Eleven vertical profiles of stratospheric NO3 have been obtained since 1992 using the AMON and SALOMON balloon-borne UV-visible spectrometers. The measurements are compared to the SLIMCAT 3D model and calculations based on the steady-state hypothesis for NO3. The calculations cannot reproduce some parts of the profiles which exhibit strong concentration fluctuations over few kilometres, as a consequence of the dependence of NO3 on local temperature variations. A statistical use of the data allows us to estimate the influence of the temperature dependence of the absorption cross-section on the data analysis, and the validity of the recommended reaction rates available in the literature. Discrepancies exist between the model based on recommended kinetics and observations at warmer temperatures. Nevertheless, the analysis is biased by local temperature inhomogeneities, and only a low-resolution vertical shape of the NO3 profiles can be retrieved.</t>
  </si>
  <si>
    <t>Univ Orleans, CNRS, LPCE, UMR 6115, F-45071 Orleans, France; Univ Leeds, Sch Earth &amp; Environm, Inst Atmospher Sci, Leeds LS2 9JT, W Yorkshire, England; CNRS, Serv Aeron, F-75254 Paris, France; British Antarctic Survey, NERC, Cambridge CB3 0ET, England</t>
  </si>
  <si>
    <t>Centre National de la Recherche Scientifique (CNRS); Universite de Orleans; University of Leeds; Centre National de la Recherche Scientifique (CNRS); UK Research &amp; Innovation (UKRI); Natural Environment Research Council (NERC); NERC British Antarctic Survey</t>
  </si>
  <si>
    <t>Renard, JB (corresponding author), Univ Orleans, CNRS, LPCE, UMR 6115, 3A Ave Rech Sci, F-45071 Orleans, France.</t>
  </si>
  <si>
    <t>jbrenard@cnrs-orleans.fr</t>
  </si>
  <si>
    <t>Chartier, Marielle/F-4055-2018; Berthet, Gwenael/H-8010-2018; FENG, WUHU/B-8327-2008; Chipperfield, Martyn/H-6359-2013</t>
  </si>
  <si>
    <t>FENG, WUHU/0000-0002-9907-9120; Chipperfield, Martyn/0000-0002-6803-4149; Riviere, Emmanuel/0000-0002-9516-3659</t>
  </si>
  <si>
    <t>0167-7764</t>
  </si>
  <si>
    <t>J ATMOS CHEM</t>
  </si>
  <si>
    <t>J. Atmos. Chem.</t>
  </si>
  <si>
    <t>10.1007/s10874-005-5983-8</t>
  </si>
  <si>
    <t>948CU</t>
  </si>
  <si>
    <t>WOS:000230694400003</t>
  </si>
  <si>
    <t>Cook, LG; Crisp, MD</t>
  </si>
  <si>
    <t>Directional asymmetry of long-distance dispersal and colonization could mislead reconstructions of biogeography</t>
  </si>
  <si>
    <t>JOURNAL OF BIOGEOGRAPHY</t>
  </si>
  <si>
    <t>ancestral areas; Antarctic Circumpolar Current; Australia; directional dispersal; maximum likelihood; maximum parsimony; New Zealand; southern hemisphere; trait optimization; West-wind Drift</t>
  </si>
  <si>
    <t>ANCESTRAL CHARACTER STATES; NEW-ZEALAND FLORA; HISTORICAL BIOGEOGRAPHY; MOLECULAR EVIDENCE; VICARIANCE BIOGEOGRAPHY; TRANSOCEANIC DISPERSAL; MAXIMUM-LIKELIHOOD; BAYESIAN-INFERENCE; GENOME SEQUENCES; SEED DISPERSAL</t>
  </si>
  <si>
    <t>Aim Phylogenies are increasingly being used to attempt to answer biogeographical questions. However, a reliance on tree topology alone has emerged without consideration of earth processes or the biology of the organisms in question. Most ancestral-state optimization methods have inherent problems, including failure to take account of asymmetry, such as unequal probabilities of losses and gains, and the lack of use of independent cost estimates. Here we discuss what we perceive as shortcomings in most current tree-based biogeography interpretation methods and show that consideration of processes and their likelihoods can turn the conventional biogeographical interpretation on its head. Location Southern hemisphere focus but applicable world-wide. Methods The logic of existing methods is reviewed with respect to their adequacy in modelling processes such as geographical mode of speciation and likelihood of dispersal, including directional bias. Published reconstructions of dispersal of three plant taxa between Australia and New Zealand were re-analysed using standard parsimony and maximum likelihood (ML) methods with rate matrices to model expected asymmetry of dispersal. Results Few studies to date incorporate asymmetric dispersal rate matrices or question the simplistic assumption of equal costs. Even when they do, cost matrices typically are not derived independently of tree topology. Asymmetrical dispersal between Australia and New Zealand could be reconstructed using parsimony but not with ML. Main conclusions The inadequacy of current models has important consequences for our interpretation of southern hemisphere biogeography, particularly in relation to dispersal. For example, if repeated directional dispersals and colonization in the direction of prevailing winds have occurred, with intervening periods of speciation, then there is no need to infer dispersals against those winds. Failure to take account of directionality and other biases in reconstruction methods has implications beyond the simple misinterpretation of the biogeography of a taxonomic group, such as calibration of molecular clocks, the dating of vicariance events, and the prioritization of areas for conservation.</t>
  </si>
  <si>
    <t>Australian Natl Univ, Sch Bot &amp; Zool, Canberra, ACT 0200, Australia</t>
  </si>
  <si>
    <t>Australian National University</t>
  </si>
  <si>
    <t>Australian Natl Univ, Sch Bot &amp; Zool, Canberra, ACT 0200, Australia.</t>
  </si>
  <si>
    <t>lyn.cook@anu.edu.au</t>
  </si>
  <si>
    <t>Cook, Lyn/G-7336-2012; Crisp, Michael Douglas/A-4888-2008</t>
  </si>
  <si>
    <t>Cook, Lyn/0000-0002-3172-4920; Crisp, Michael Douglas/0000-0002-8255-6349</t>
  </si>
  <si>
    <t>0305-0270</t>
  </si>
  <si>
    <t>1365-2699</t>
  </si>
  <si>
    <t>J BIOGEOGR</t>
  </si>
  <si>
    <t>J. Biogeogr.</t>
  </si>
  <si>
    <t>10.1111/j.1365-2699.2005.01261.x</t>
  </si>
  <si>
    <t>Ecology; Geography, Physical</t>
  </si>
  <si>
    <t>921GE</t>
  </si>
  <si>
    <t>WOS:000228751400002</t>
  </si>
  <si>
    <t>Janecki, T; Rakusa-Suszczewski, S</t>
  </si>
  <si>
    <t>The influence of starvation and amino acids on metabolism of the antarctic amphipod Waldeckia obesa</t>
  </si>
  <si>
    <t>JOURNAL OF CRUSTACEAN BIOLOGY</t>
  </si>
  <si>
    <t>SEA; CHEVREUX</t>
  </si>
  <si>
    <t>The average oxygen consumption of well-fed Waldeckia obesa individuals, whose average wet weight equals 318.3 mg is, 74.7 mu L O-2 ind(-1) h(-1) at the temperature 0 degrees C. On average, 10-day-long starvation reduces the metabolism level by 36%, and 30-day-long starvation by 66%, compared to well-fed individuals. Investigations concerned the influence of 12 amino acids at the 10 mM concentration on W. obesa respiration. Amongst animals starved for 10 days, the addition of amino acids does not lead to statistically significant changes in metabolism rates, while amongst animals starved for 30 days, arginine leads to an 241% increase in metabolism rates. Glutamic acid constitutes about 10% of all amino acids in the body of W. obesa and more than 15% in the Nototenia neglecta fish, which is a food resource for this crustacean.</t>
  </si>
  <si>
    <t>Polish Acad Sci, Dept Antarct Biol, PL-02141 Warsaw, Poland</t>
  </si>
  <si>
    <t>Polish Academy of Sciences</t>
  </si>
  <si>
    <t>Janecki, T (corresponding author), Polish Acad Sci, Dept Antarct Biol, Ustrzycka 10-12, PL-02141 Warsaw, Poland.</t>
  </si>
  <si>
    <t>toja@dab.waw.pl</t>
  </si>
  <si>
    <t>0278-0372</t>
  </si>
  <si>
    <t>1937-240X</t>
  </si>
  <si>
    <t>J CRUSTACEAN BIOL</t>
  </si>
  <si>
    <t>J. Crustac. Biol.</t>
  </si>
  <si>
    <t>10.1651/C-2522</t>
  </si>
  <si>
    <t>Marine &amp; Freshwater Biology; Zoology</t>
  </si>
  <si>
    <t>925YA</t>
  </si>
  <si>
    <t>WOS:000229088400003</t>
  </si>
  <si>
    <t>Sänger, AM; Davison, W; Egginton, S</t>
  </si>
  <si>
    <t>Muscle fine structure reflects ecotype in two nototheniids</t>
  </si>
  <si>
    <t>capillary supply; electron microscopy; fibre size; mitochondrial density; myocardium; skeletal muscle</t>
  </si>
  <si>
    <t>ANTARCTIC TELEOST; AXIAL MUSCLE; FIBER TYPES; ENERGY-METABOLISM; SKELETAL-MUSCLE; MCMURDO SOUND; POWER OUTPUT; FISH; PERFORMANCE; RED</t>
  </si>
  <si>
    <t>The fine structure of swimming (pectoral) and myotomal (axial) skeletal muscle and myocardium of two species of Antarctic nototheniid Fishes were studied by electron microscopy, comparing the cryopelagic Pagothenia borchrgrevinki and the benthic Trematomus bernacchii. Mean fibre size varied by a factor of four among muscles within each species and may have reflected the locomotory power available, being larger in pectoral oxidative (red) and axial glycolytic (white) muscle of P. borchgrevinki. Both species use labriform locomotion, and the more active P. borchgrerinki had a greater capillary supply, expressed as a capillary to fibre ratio. than T. bernacchii to both red (3.48 +/- 0.36 v. 1.63 +/- 0.14, mean +/- S.E.; P &lt; 0.01) and white (2.70 +/- 0.20 v. 1.53 +/- 0.18, mean +/- S.E.; P &lt; 0.01) regions of the pectoral musculature. The greater aerobic scope of P. borchgrevinki was strikingly demonstrated in the higher mitochondrial content of all skeletal muscle types sampled, and the ventricular myocardium (0.269 +/- 0.011 v. 0.255 +/- 0.012 mean +/- S.E.; P &lt; 0.05). Minor differences were found in other elements of fibre composition, with the exception of a five-fold greater lipid content in pectoral red fibres of P. borchgrerinki (0.074 +/- 0.014 mean +/- S.E.) v. T. bernacchii (0.010 +/- 0.003; P &lt; 0.05). Differences in muscle fine structure among species clearly reflected differences in their ecotype. (c) 2005 The Fisheries Society of the British Isles.</t>
  </si>
  <si>
    <t>Salzburg Univ, Dept Organism Biol Vasc &amp; Muscle Res, A-5020 Salzburg, Austria; Univ Canterbury, Sch Biol Sci, Christchurch 1, New Zealand; Univ Birmingham, Ctr Cardiovasc Sci, Dept Physiol, Birmingham B15 2TT, W Midlands, England</t>
  </si>
  <si>
    <t>Salzburg University; University of Canterbury; University of Birmingham</t>
  </si>
  <si>
    <t>Egginton, S (corresponding author), Salzburg Univ, Dept Organism Biol Vasc &amp; Muscle Res, Hellbrunner Str 34, A-5020 Salzburg, Austria.</t>
  </si>
  <si>
    <t>s.egginton@bham.ac.uk</t>
  </si>
  <si>
    <t>1095-8649</t>
  </si>
  <si>
    <t>10.1111/j.0022-1112.2005.00689.x</t>
  </si>
  <si>
    <t>928ZA</t>
  </si>
  <si>
    <t>WOS:000229309400010</t>
  </si>
  <si>
    <t>Trematomus scotti in Beaver Lake:: the first record of a fish from a non-marine Antarctic habitat</t>
  </si>
  <si>
    <t>Antarctica; colonization; epishelf lake; Trematomus scotti</t>
  </si>
  <si>
    <t>NUNAVUT; ISLAND; LIFE</t>
  </si>
  <si>
    <t>The first record of a fish from a non-marine Antarctic habitat is reported. A specimen of Trematomus scotti (Boulenger) was captured from the brackish water zone of epishelf Beaver Lake (70 degrees 7' S; 68 degrees 14' E). (c) 2005 The Fisheries Society of the British Isles.</t>
  </si>
  <si>
    <t>Univ Tasmania, Sch Zool, Private Bag 5, Hobart, Tas 7001, Australia.</t>
  </si>
  <si>
    <t>john.gibson@utas.edu.au</t>
  </si>
  <si>
    <t>Newman, Louise/0000-0001-9523-8713</t>
  </si>
  <si>
    <t>10.1111/j.0022-1112.2005.00697.x</t>
  </si>
  <si>
    <t>WOS:000229309400021</t>
  </si>
  <si>
    <t>Jones, M</t>
  </si>
  <si>
    <t>Sir James Wordie, polar crusader: Exploring the Arctic and Antarctic</t>
  </si>
  <si>
    <t>JOURNAL OF IMPERIAL AND COMMONWEALTH HISTORY</t>
  </si>
  <si>
    <t>Book Review</t>
  </si>
  <si>
    <t>Univ Manchester, Manchester M13 9PL, Lancs, England</t>
  </si>
  <si>
    <t>University of Manchester</t>
  </si>
  <si>
    <t>Jones, M (corresponding author), Univ Manchester, Manchester M13 9PL, Lancs, England.</t>
  </si>
  <si>
    <t>ROUTLEDGE TAYLOR &amp; FRANCIS LTD</t>
  </si>
  <si>
    <t>4 PARK SQUARE, MILTON PARK, ABINGDON OX14 4RN, OXFORDSHIRE, ENGLAND</t>
  </si>
  <si>
    <t>0308-6534</t>
  </si>
  <si>
    <t>J IMP COMMONW HIST</t>
  </si>
  <si>
    <t>J. Imp. Commonw. Hist.</t>
  </si>
  <si>
    <t>History</t>
  </si>
  <si>
    <t>944ZN</t>
  </si>
  <si>
    <t>WOS:000230470000027</t>
  </si>
  <si>
    <t>Williams, M; Stephenson, M; Wilkinson, IP; Leng, MJ; Miller, CG</t>
  </si>
  <si>
    <t>Early Carboniferous (Late Tournaisian-Early Visean) ostracods from the Ballagan Formation, central Scotland, UK</t>
  </si>
  <si>
    <t>JOURNAL OF MICROPALAEONTOLOGY</t>
  </si>
  <si>
    <t>Carboniferous; Tournaisian; ostracods; biostratigraphy; palaeoenvironments</t>
  </si>
  <si>
    <t>MIDLAND VALLEY; BIOSTRATIGRAPHY</t>
  </si>
  <si>
    <t>The Ballagan Formation (Late Tournaisian-Early Visean) of central Scotland yields an ostracod fauna of 14 species in ten genera, namely Beyrichiopsis, Cavellina, Glyptolichvinella, Glyptopleura, Knoxiella, Paraparchites, Sansabella, Shemonaella, Silenites and Sulcella. The ostracods, in combination with palynomorphs, are important biostratigraphical indices for correlating the rock sequences, where other means of correlation, especially goniatites, conodonts, foraminifera, brachiopods or corals are absent. Stratigraphical distribution of the ostracods, calibrated with well-established palynomorph biozones, identifies three informally defined intervals: a sub-CM palynomorph Biozone interval with poor ostracod assemblages including Shemonaella scotoburdigalensis; a succeeding interval within the CM palynomorph Biozone where Cavellina coela, Cavellina incurvescens, Sansabella amplectans and the new species Knoxiella monarchella and Paraparehites discus first appear; and, an upper interval, in the upper CM Biozone, marked by the appearance of Sulcella affilata. At least locally in central Scotland, S. affiliata permits a level of resolution equivalent to a sub-zonal upper division of the CM Biozone. The fauna, flora, sedimentology and stable isotope composition (delta C-13 and delta O-18) of carbonate minerals in the Ballagan Formation suggest the ostracods inhabited brackish, hypersaline and ephemeral aquatic ecologies in a coastal floodplain setting.</t>
  </si>
  <si>
    <t>British Geol Survey, NERC, Isotope Geosci Lab, Keyworth NG12 5GG, Notts, England; Nat Hist Museum, London SW7 5BD, England</t>
  </si>
  <si>
    <t>UK Research &amp; Innovation (UKRI); Natural Environment Research Council (NERC); NERC British Geological Survey; Natural History Museum London</t>
  </si>
  <si>
    <t>British Antarctic Survey, Geol Sci Div, High Cross,Madingley Rd, Cambridge CB3 0ET, England.</t>
  </si>
  <si>
    <t>mwilli@bas.ac.uk</t>
  </si>
  <si>
    <t>Williams, Mark/B-7590-2009; Miller, Giles/C-5160-2012</t>
  </si>
  <si>
    <t>Williams, Mark/0000-0002-7987-6069; Leng, Melanie/0000-0003-1115-5166; Miller, Giles/0000-0001-9111-2136</t>
  </si>
  <si>
    <t>GEOLOGICAL SOC PUBL HOUSE</t>
  </si>
  <si>
    <t>BATH</t>
  </si>
  <si>
    <t>UNIT 7, BRASSMILL ENTERPRISE CENTRE, BRASSMILL LANE, BATH BA1 3JN, AVON, ENGLAND</t>
  </si>
  <si>
    <t>0262-821X</t>
  </si>
  <si>
    <t>J MICROPALAEONTOL</t>
  </si>
  <si>
    <t>J. Micropalaentol.</t>
  </si>
  <si>
    <t>10.1144/jm.24.1.77</t>
  </si>
  <si>
    <t>936FC</t>
  </si>
  <si>
    <t>WOS:000229839900004</t>
  </si>
  <si>
    <t>Cunningham, L; Raymond, B; Snape, I; Riddle, MJ</t>
  </si>
  <si>
    <t>Benthic diatom communities as indicators of anthropogenic metal contamination at Casey Station, Antarctica</t>
  </si>
  <si>
    <t>JOURNAL OF PALEOLIMNOLOGY</t>
  </si>
  <si>
    <t>Antarctica; diatoms; diatom community composition; marine pollution; metal contamination; MAT analysis; paleo-reconstruction</t>
  </si>
  <si>
    <t>SURFACE-WATER TEMPERATURE; EAST ANTARCTICA; CANADA LAKES; ASSEMBLAGES; CALIBRATION; POLLUTION; SALINITY; RESPONSES; STREAMS; MODELS</t>
  </si>
  <si>
    <t>Prior to environmental legislation in the 1980s, anthropogenic waste in Antarctica was often deposited into landfill sites or into the sea. This resulted in metal contamination in terrestrial and near- shore marine environments. In this study, we assess the feasibility of using both past and present diatom assemblages to reconstruct and monitor past and future metal contamination. Our dataset included the analyses of both surface sediment samples and sediment cores from a contaminated site near Casey Station, Antarctica. Redundancy analyses indicated a strong relationship between metal concentrations and the composition of diatom communities. Within the surface sediment samples, tin and lead individually explained 43% of the variation observed in the diatom data; copper and iron explained 42% of this variation. In the sediment cores, tin and lead individually explained 53% of the variation in diatom community composition. In the same samples copper explained 47% of this variation, with iron explaining 46% of the observed variation. Once one metal had been selected, incorporating further metal data into the analyses added little extra information. Modern analog technique ( MAT) analyses showed a strong correlation between actual and predicted values within one dataset (R-2: Cu 0.75; Pb 0.86; Sn 0.89; p &lt; 0.05 for each). MAT reconstructions of metal concentrations closely followed measured concentrations, with both high and low concentrations recorded. MAT analyses performed favorably when compared to predictive techniques based on multivariate linear regression and multilayer perceptron neural networks. This study demonstrates that the composition of benthic diatom communities is a good indicator of anthropogenic metal contamination, and may be useful in monitoring the success of environmental remediation strategies in Antarctica and elsewhere.</t>
  </si>
  <si>
    <t>Australian Antarctic Div, Dept Environm &amp; Heritage, Kingston, Tas 7050, Australia</t>
  </si>
  <si>
    <t>Australian Antarctic Division</t>
  </si>
  <si>
    <t>Riddle, MJ (corresponding author), Australian Antarctic Div, Dept Environm &amp; Heritage, Channel Highway, Kingston, Tas 7050, Australia.</t>
  </si>
  <si>
    <t>martin.riddle@aad.gov.au</t>
  </si>
  <si>
    <t>Cunningham, Laura Kay/0000-0001-6591-4610</t>
  </si>
  <si>
    <t>0921-2728</t>
  </si>
  <si>
    <t>1573-0417</t>
  </si>
  <si>
    <t>J PALEOLIMNOL</t>
  </si>
  <si>
    <t>J. Paleolimn.</t>
  </si>
  <si>
    <t>10.1007/s10933-005-0814-0</t>
  </si>
  <si>
    <t>Environmental Sciences; Geosciences, Multidisciplinary; Limnology</t>
  </si>
  <si>
    <t>Environmental Sciences &amp; Ecology; Geology; Marine &amp; Freshwater Biology</t>
  </si>
  <si>
    <t>927JA</t>
  </si>
  <si>
    <t>WOS:000229189000006</t>
  </si>
  <si>
    <t>Davis, RE</t>
  </si>
  <si>
    <t>Intermediate-depth circulation of the Indian and South Pacific Oceans measured by autonomous floats</t>
  </si>
  <si>
    <t>TOTAL GEOSTROPHIC CIRCULATION; NORTH-ATLANTIC; FLOW PATTERNS; VARIABILITY; TRANSPORTS; TRAJECTORIES; TOPOGRAPHY; VELOCITY; TRACERS; ALACE</t>
  </si>
  <si>
    <t>As part of the World Ocean Circulation Experiment, 306 autonomous floats were deployed in the tropical and South Pacific Ocean and 228 were deployed in the Indian Ocean to observe the basinwide circulation near 900-m depth. Mean velocities, seasonal variability, and lateral eddy diffusivity from the resultant 2583 float-years of data are presented. Area averages, local function fits, and a novel application of objective mapping are used to estimate the mean circulation. Patterns of mean circulation resemble those at the surface in both basins. Well-developed subtropical gyres, twice as strong in the Indian Ocean as in the Pacific, feed western boundary currents. Tropical gyres are separated by eastward flow along the equator in both hemispheres of both basins, although the Indian subcontinent splits the north Indian tropical gyre. The Antarctic Circumpolar Current (ACC) and west wind drifts are prominent in both basins, generally tending slightly southward but deviating to the north behind the Del Cano, Kerguelen, and Campbell Plateaus and, of course, South America. Remarkably, the eastern boundaries of the southern subtropical gyres in all three basins apparently occur in the ocean interior, away from land. The Indian Ocean's subtropical gyre, and perhaps part of the South Atlantic's, reaches east to a retroflection just upstream of the Campbell Plateau south of New Zealand. Seasonal variability at 900 m is focused around the equator with weaker variability found near certain bathymetric features. There is a remarkable agreement between the observed seasonable variability and that predicted by the Jet Propulsion Laboratory (JPL)-Estimating the Circulation and Climate of the Ocean (ECCO) data-assimilating numerical model. Aside from seasonal effects, eddy variability is greatest along the equator, in tropical and subtropical western basins, and along the ACC. Integrals of velocity across regional passages (Tasman Sea, Mozambique Channel) provide useful reference for hydrographic analyses of transport. Across whole ocean basins, however, the uncertainty associated with the appropriate continuity relation for horizontal flow (e.g., geostrophy vs nondivergence) is comparable to the mean flow.</t>
  </si>
  <si>
    <t>Univ Calif San Diego, Scripps Inst Oceanog, La Jolla, CA 92093 USA</t>
  </si>
  <si>
    <t>Davis, RE (corresponding author), Univ Calif San Diego, Scripps Inst Oceanog, MS 0230, La Jolla, CA 92093 USA.</t>
  </si>
  <si>
    <t>rdavis@ucsd.edu</t>
  </si>
  <si>
    <t>Davis, Russ/0000-0003-1903-6313</t>
  </si>
  <si>
    <t>10.1175/JPO2702.1</t>
  </si>
  <si>
    <t>938KY</t>
  </si>
  <si>
    <t>WOS:000230003500008</t>
  </si>
  <si>
    <t>Saenko, OA; Merryfield, WJ</t>
  </si>
  <si>
    <t>On the effect of topographically enhanced mixing on the global ocean circulation</t>
  </si>
  <si>
    <t>POTENTIAL VORTICITY; ABYSSAL OCEAN; ROUGH TOPOGRAPHY; SOUTHERN-OCEAN; NORTH-ATLANTIC; MODEL; SENSITIVITY; PYCNOCLINE; TRANSPORT; CLIMATE</t>
  </si>
  <si>
    <t>The strong influence of enhanced diapycnal mixing over rough topography on bottom-water circulation is illustrated using results from two global ocean model experiments. In the first, diapycnal diffusivity is set to the observed background level of 10(-5) m(2) s(-1) in regions not subject to shear instability, convection, or surface-driven mixing. In the second experiment, mixing is enhanced above rough bottom topography to represent the dissipation of internal tides. Three important results are obtained. First, without the enhanced mixing in the abyssal ocean, the deep North Pacific Ocean becomes essentially a stagnant basin, with little bottom-water circulation and very weak deep stratification. Allowing for the enhanced diapycnal mixing above rough bottom topography leads to increased bottom-water circulation and deep stratification and a potential vorticity distribution in the North Pacific that is much more realistic. Second, the enhanced diapycnal mixing above rough topography results in a significant intensification and deepening of the Antarctic Circumpolar Current, as well as in stronger bottom-water formation around Antarctica. Last, our experiments suggest that dissipation of internal tides and the associated enhanced diapycnal mixing in the abyssal ocean play no part in the circulation of deep water forming in the North Atlantic Ocean and in the associated transport of heat in the ocean.</t>
  </si>
  <si>
    <t>Canadian Ctr Climate Modelling &amp; Anal, Meteorol Serv Canada, Victoria, BC V8W 2Y2, Canada</t>
  </si>
  <si>
    <t>Environment &amp; Climate Change Canada; Canadian Centre for Climate Modelling &amp; Analysis (CCCma); Meteorological Service of Canada</t>
  </si>
  <si>
    <t>Canadian Ctr Climate Modelling &amp; Anal, Meteorol Serv Canada, POB 1700 Stn CSC, Victoria, BC V8W 2Y2, Canada.</t>
  </si>
  <si>
    <t>oleg.saenko@ec.gc.ca</t>
  </si>
  <si>
    <t>1520-0485</t>
  </si>
  <si>
    <t>10.1175/JPO2722.1</t>
  </si>
  <si>
    <t>WOS:000230003500016</t>
  </si>
  <si>
    <t>Tassone, A; Lippai, H; Lodolo, E; Menichetti, M; Comba, A; Hormaechea, JL; Vilas, JF</t>
  </si>
  <si>
    <t>A geological and geophysical crustal section across the Magallanes-Fagnano fault in Tierra del Fuego</t>
  </si>
  <si>
    <t>JOURNAL OF SOUTH AMERICAN EARTH SCIENCES</t>
  </si>
  <si>
    <t>5th International Symposium on Andean Geodynamics (ISAG)</t>
  </si>
  <si>
    <t>SEP 16-18, 2002</t>
  </si>
  <si>
    <t>Toulouse, FRANCE</t>
  </si>
  <si>
    <t>gravity; magnetic; Tierra del Fuego; transtensive tectonics</t>
  </si>
  <si>
    <t>SOUTHERNMOST SOUTH-AMERICA; ANTARCTIC PENINSULA; EVOLUTION; BASIN; FOOTHILLS; ARC</t>
  </si>
  <si>
    <t>Geophysical and geological field Surveys carried Out in the central and eastern part of the Argentinean Tierra del Fuego Island oil the Magallanes-Fagnano fault system (MFS) delineate its Main structural features and tectonic setting. Gravity and magnetic data provide critical information for those areas lacking good exposures and Support a present-day transtensional tectonic regime for the MFS. In the Surveyed area, the MFS segments have a clear morphological expression and are associated with localized gravity minima interpreted as pull-apart basins. In the Southeastern corner of Lago Fagnano, the Magnetic data suggest a prominent crystalline body in the subsurface, partially exposed in Cerro Hewhoepen. The shape and position of this intrusive body suggest that its emplacement was localized in a releasing bend. Two-dimensional density modeling along a 40 km long N-S section cast of Lago Fagnano suggests a deep duplex similar to that exposed in the western part of the island. The obtained model, combined with available surface data, implies the subsurface configuration of geological units and structures, in which the Structure of the deep duplex is similar to that exposed in the western part of the Island. The model indicates the southward deepening of the basement from 5 to 7 kin and provides further Support for the piston shape of the Hewhoepen intrusive. (c) 2005 Elsevier Ltd. All Lights reserved.</t>
  </si>
  <si>
    <t>Univ Buenos Aires, CONICET, FCEyN, Dept Geol,Inst Geofis Daniel A Valencio, Buenos Aires, DF, Argentina; Ist Nazl Oceanog &amp; Geofis Sperimentale, Trieste, Italy; Univ Urbino, Ist Geodiam &amp; Sedimentol, I-61029 Urbino, Italy; UNLP, CONICET, Estac Astron Rio Grande, Rio Grande, Argentina</t>
  </si>
  <si>
    <t>Consejo Nacional de Investigaciones Cientificas y Tecnicas (CONICET); University of Buenos Aires; Istituto Nazionale di Oceanografia e di Geofisica Sperimentale; University of Urbino; National University of La Plata; Consejo Nacional de Investigaciones Cientificas y Tecnicas (CONICET)</t>
  </si>
  <si>
    <t>Univ Buenos Aires, CONICET, FCEyN, Dept Geol,Inst Geofis Daniel A Valencio, Buenos Aires, DF, Argentina.</t>
  </si>
  <si>
    <t>atassone@gl.fcen.uba.ar</t>
  </si>
  <si>
    <t>LODOLO, Emanuele/0000-0002-4706-2095; Hormaechea, Jose Luis/0000-0003-4533-3282; MENICHETTI, Marco/0000-0003-2901-0715</t>
  </si>
  <si>
    <t>0895-9811</t>
  </si>
  <si>
    <t>1873-0647</t>
  </si>
  <si>
    <t>J S AM EARTH SCI</t>
  </si>
  <si>
    <t>J. South Am. Earth Sci.</t>
  </si>
  <si>
    <t>10.1016/j.jsames.2004.12.003</t>
  </si>
  <si>
    <t>960IM</t>
  </si>
  <si>
    <t>WOS:000231583800008</t>
  </si>
  <si>
    <t>Flowerdew, MJ; Daly, JS; Whitehouse, MJ</t>
  </si>
  <si>
    <t>470 Ma granitoid magmatism associated with the Grampian Orogeny in the Slishwood Division, NW Ireland</t>
  </si>
  <si>
    <t>JOURNAL OF THE GEOLOGICAL SOCIETY</t>
  </si>
  <si>
    <t>Dalradian; Caledonides; absolute age; zircon; granite</t>
  </si>
  <si>
    <t>PB ZIRCON GEOCHRONOLOGY; U-TH-PB; CENTRAL HIGHLANDS; DALRADIAN ROCKS; SOUTH-MAYO; FACIES METAMORPHISM; WESTERN IRELAND; ION-MICROPROBE; TRACE-ELEMENT; OX MOUNTAINS</t>
  </si>
  <si>
    <t>Ion-microprobe U-Pb zircon geochronology demonstrates that magmatic rocks that cut the Slishwood Division are early Ordovician in age and relate to the earliest stages of the Grampian Orogeny. These tonalite and granite intrusions yield ages of 474 +/- 5 Ma, 472 +/- 6 Nla, 471 +/- 5 Ma and 467 +/- 6 Ma. A Sm-Nd mineral isochron of 457 +/- 36 Ma confirms an Ordovician age for one of the tonalite bodies and demonstrates that they were affected by Ordovician metamorphism whereas biotite Rb-Sr mineral ages from two of the tonalite bodies show that the Slishwood Division had cooled below c. 350 degrees C at 449 +/- 7 Ma. The early orogenic tonalite and granite intrusions are mylonitized in structures that overthrust the Dalradian Supergroup onto the Slishwood Division during major nappe formation and, thus, date the onset of such deformation at or before 471 +/- 5 Ma. the age of the youngest intrusion where such field relations can be demonstrated.</t>
  </si>
  <si>
    <t>Swedish Museum Nat Hist, SE-10405 Stockholm, Sweden; Univ Coll Dublin, Dept Geol, Dublin, Ireland</t>
  </si>
  <si>
    <t>Swedish Museum of Natural History; University College Dublin</t>
  </si>
  <si>
    <t>British Antarctic Survey, NERC, Isotope Geosci Lab, Kingsley Dunham Ctr Keyworth, Keyworth NG12 5GG, Nottingham, England.</t>
  </si>
  <si>
    <t>mf@bas.ac.uk</t>
  </si>
  <si>
    <t>Daly, J. Stephen/B-4836-2012; Whitehouse, Martin/E-1425-2013</t>
  </si>
  <si>
    <t>Daly, J. Stephen/0000-0001-6390-905X; Whitehouse, Martin/0000-0003-2227-577X; Flowerdew, Michael/0000-0002-9710-2593</t>
  </si>
  <si>
    <t>0016-7649</t>
  </si>
  <si>
    <t>2041-479X</t>
  </si>
  <si>
    <t>J GEOL SOC LONDON</t>
  </si>
  <si>
    <t>J. Geol. Soc.</t>
  </si>
  <si>
    <t>10.1144/0016-784904-067</t>
  </si>
  <si>
    <t>925WP</t>
  </si>
  <si>
    <t>WOS:000229084400015</t>
  </si>
  <si>
    <t>Brzezinski, MA; Jones, JL; Demarest, MS</t>
  </si>
  <si>
    <t>Control of silica production by iron and silicic acid during the Southern Ocean Iron Experiment (SOFeX)</t>
  </si>
  <si>
    <t>LIMNOLOGY AND OCEANOGRAPHY</t>
  </si>
  <si>
    <t>POLAR FRONTAL ZONE; BIOGENIC SILICA; PACIFIC SECTOR; PHYTOPLANKTON GROWTH; EQUATORIAL PACIFIC; PRODUCTION-RATES; SURFACE-WATER; CELL-SIZE; BLOOM; DEFICIENCY</t>
  </si>
  <si>
    <t>We examined the role of Si limitation in mediating the response of siliceous biomass and silica production to mesoscale Fe fertilization in the high-silicic acid high-nitrate waters of the Antarctic and in the low-silicic acid high-nitrate waters of the Subantarctic during austral summer. Iron fertilization stimulated biogenic silica production and silicic acid depletion in both regions. Si limitation significantly curtailed the response of silica production to Fe in the Subantarctic, but not in the Antarctic. Additions of silicic acid to Fe-enriched waters of the Subantarctic more than doubled specific silica production rates beyond the increase caused by Fe alone. This result, combined with the presence of Si limitation both inside and outside of the fertilized patch in the Subantarctic, indicates that silica production in the Subantarctic is regulated by both Fe and Si during austral summer. Fe increased the ability of Subantarctic diatom assemblages to take up low concentrations of Si over an order of magnitude by increasing maximum uptake rates and lowering half-saturation constants for silicic acid uptake. Our observations indicate that the dramatic gradient in Si availability across the Antarctic Circumpolar Current exerts a strong control on the contribution of diatoms to new production following Fe enrichment in the Southern Ocean during austral summer. With sufficient Fe to allow nitrate depletion, the abundant silicic acid in the Antarctic would allow diatoms to dominate nitrate use; however, low silicic acid concentrations in the Subantarctic would restrict the fraction of available nitrate that would be consumed by diatoms to ca. 5%.</t>
  </si>
  <si>
    <t>Univ Calif Santa Barbara, Inst Marine Sci, Santa Barbara, CA 93106 USA; Univ Calif Santa Barbara, Dept Ecol Evolut &amp; Marine Biol, Santa Barbara, CA 93106 USA</t>
  </si>
  <si>
    <t>Univ Calif Santa Barbara, Inst Marine Sci, Santa Barbara, CA 93106 USA.</t>
  </si>
  <si>
    <t>0024-3590</t>
  </si>
  <si>
    <t>1939-5590</t>
  </si>
  <si>
    <t>LIMNOL OCEANOGR</t>
  </si>
  <si>
    <t>Limnol. Oceanogr.</t>
  </si>
  <si>
    <t>10.4319/lo.2005.50.3.0810</t>
  </si>
  <si>
    <t>Limnology; Oceanography</t>
  </si>
  <si>
    <t>Marine &amp; Freshwater Biology; Oceanography</t>
  </si>
  <si>
    <t>928AO</t>
  </si>
  <si>
    <t>WOS:000229243700007</t>
  </si>
  <si>
    <t>Ansaldo, M; Najle, R; Luquet, CM</t>
  </si>
  <si>
    <t>Oxidative stress generated by diesel seawater contamination in the digestive gland of the Antarctic limpet Nacella concinna</t>
  </si>
  <si>
    <t>MARINE ENVIRONMENTAL RESEARCH</t>
  </si>
  <si>
    <t>oxidative stress; Antarctica; limpet; Nacella concinna; antioxidants; diesel; seawater contamination</t>
  </si>
  <si>
    <t>LIPID-PEROXIDATION; ASSAY; EXPOSURE; ORANGE; DAMAGE</t>
  </si>
  <si>
    <t>The aim of this work was to investigate the activity of antioxidant enzymes and oxidative damage in the digestive gland of the limpet Nacella concinna, and their suitability as biomarkers for hydrocarbon pollution in Antarctic coasts. Three groups of 30 individuals each were kept in seawater containing 0%, 0.05% or 0.1% diesel. Superoxide dismutase, catalase, glutathione S transferase and glutathione peroxidase activities, as well as lipid peroxidation and protein oxidation were studied in 18 animals of each group after 24, 48 and 168 In of exposure. The activity levels of most enzymes were increased by diesel in a dose-dependent manner. Glutathione peroxidase showed the most clear effect; its activity significantly increased in the 0.1% diesel group respect to the control. Lipid peroxidation and protein oxidation were significantly increased by diesel after 168 h. Both variables were higher in the group exposed to the lowest dose. (C) 2004 Elsevier Ltd. All rights reserved.</t>
  </si>
  <si>
    <t>Inst Antartico Argentino, RA-1010 Buenos Aires, DF, Argentina; Univ Ctr Prov Buenos Aires, Fac Cs Vet, RA-7000 Buenos Aires, DF, Argentina; Univ Buenos Aires, Fac Ciencias Exactas &amp; Nat, Dept Biodiversidad &amp; Biol Expt, RA-1428 Buenos Aires, DF, Argentina</t>
  </si>
  <si>
    <t>Instituto Antartico Argentino; University of Buenos Aires</t>
  </si>
  <si>
    <t>Inst Antartico Argentino, Cerrito 1248, RA-1010 Buenos Aires, DF, Argentina.</t>
  </si>
  <si>
    <t>tincho@bg.fcen.uba.ar</t>
  </si>
  <si>
    <t>0141-1136</t>
  </si>
  <si>
    <t>1879-0291</t>
  </si>
  <si>
    <t>MAR ENVIRON RES</t>
  </si>
  <si>
    <t>Mar. Environ. Res.</t>
  </si>
  <si>
    <t>10.1016/j.marenvres.2004.06.003</t>
  </si>
  <si>
    <t>Environmental Sciences; Marine &amp; Freshwater Biology; Toxicology</t>
  </si>
  <si>
    <t>Environmental Sciences &amp; Ecology; Marine &amp; Freshwater Biology; Toxicology</t>
  </si>
  <si>
    <t>888DO</t>
  </si>
  <si>
    <t>WOS:000226354600007</t>
  </si>
  <si>
    <t>Philipp, E; Brey, T; Pörtner, HO; Abele, D</t>
  </si>
  <si>
    <t>Chronological and physiological ageing in a polar and a temperate mud clam</t>
  </si>
  <si>
    <t>MECHANISMS OF AGEING AND DEVELOPMENT</t>
  </si>
  <si>
    <t>chronological and physiological ageing; bivalves; ROS</t>
  </si>
  <si>
    <t>LATERNULA-ELLIPTICA KING; AGE-RELATED-CHANGES; LIPID-PEROXIDATION; PROTEIN-SYNTHESIS; ADAMUSSIUM-COLBECKI; OXIDATIVE STRESS; SKELETAL-MUSCLE; MYTILUS-EDULIS; GEORGE ISLAND; ANTIOXIDANT SYSTEMS</t>
  </si>
  <si>
    <t>We investigated chronological and physiological ageing of two mud clams with regard to the rate of living theory (Pearl, 1928) and the free radical theory of ageing (Harman, 1956). The Antarctic Laternula elliptica (Pholadomyoida) and the temperate Mya arenaria (Myoida) represent the same ecotype (benthic infaunal filter feeders), but differ in maximum life span, 36 and 13 years, respectively. L. elliptica has a two-fold lower standard metabolic rate than M. arenaria, but its life long energy turnover at maximal age is three times higher. When comparing the two species within the lifetime window of M. arenaria, antioxidant capacities (glutathione, catalase) are higher and tissue oxidation (ratio of oxidised to reduced glutathione, lipofuscin accumulation) is lower in the polar L. elliptica than in the temperate mud clam. Tissue redox state in L elliptica remained stable throughout all ages, whereas it increased dramatically in aged M. arenaria. Our results indicate that metabolic rates and maintenance of tissue redox state are major factors determining maximum lifespan in the investigated mud clams. (c) 2004 Elsevier Ireland Ltd. All rights reserved.</t>
  </si>
  <si>
    <t>Alfred Wegener Inst Polar &amp; Marine Res, Postfach 120161, D-27568 Bremerhaven, Germany.</t>
  </si>
  <si>
    <t>dabele@awi-bremerhaven.de</t>
  </si>
  <si>
    <t>Pörtner, Hans-O./K-9429-2016; Pörtner, Hans-O./ISU-9397-2023</t>
  </si>
  <si>
    <t>Pörtner, Hans-O./0000-0001-6535-6575; Brey, Thomas/0000-0002-6345-2851; Abele, Doris/0000-0002-5766-5017</t>
  </si>
  <si>
    <t>ELSEVIER IRELAND LTD</t>
  </si>
  <si>
    <t>CLARE</t>
  </si>
  <si>
    <t>ELSEVIER HOUSE, BROOKVALE PLAZA, EAST PARK SHANNON, CO, CLARE, 00000, IRELAND</t>
  </si>
  <si>
    <t>0047-6374</t>
  </si>
  <si>
    <t>1872-6216</t>
  </si>
  <si>
    <t>MECH AGEING DEV</t>
  </si>
  <si>
    <t>Mech. Ageing Dev.</t>
  </si>
  <si>
    <t>10.1016/j.mad.2004.12.003</t>
  </si>
  <si>
    <t>Cell Biology; Geriatrics &amp; Gerontology</t>
  </si>
  <si>
    <t>920IC</t>
  </si>
  <si>
    <t>WOS:000228681600008</t>
  </si>
  <si>
    <t>Philipp, E; Pörtner, HO; Abele, D</t>
  </si>
  <si>
    <t>Mitochondrial ageing of a polar and a temperate mud clam</t>
  </si>
  <si>
    <t>mitochondrial ageing; marine bivalves; polar ecology</t>
  </si>
  <si>
    <t>BIVALVE LATERNULA-ELLIPTICA; HYDROGEN-PEROXIDE PRODUCTION; RESPIRATORY-CHAIN FUNCTION; LUGWORM ARENICOLA-MARINA; KING-GEORGE ISLAND; POPULATION-DYNAMICS; OXIDATIVE DAMAGE; SKELETAL-MUSCLE; GROWTH; AGE</t>
  </si>
  <si>
    <t>We investigated mitochondrial ageing in a temperate (Mya arenaria) and an Antarctic (Laternula elliptica) mud clam, with similar lifestyle (benthic filter feeders) but different maximum life spans (MLSP), 13 and 36 years, respectively. The short-lived temperate M. arenaria showed a more pronounced decrease in mitochondrial function (respiration, respiratory control ratio, proton leak, membrane potential) with age than the long-lived Antarctic L. elliptica. H2O2 generation rates at habitat temperature were far higher in the short-lived M. arenaria compared to L. elliptica. Reactive oxygen species (ROS) production as proportion of the mitochondrial oxygen consumption rate (%H2O2/O-2) increased significantly with age in M. arenaria, whereas in L elliptica the proportion remained unchanged. Lower rates of mitochondrial H2O2 generation were presumably due to mild uncoupling as L. elliptica mitochondria showed higher proton leak compared to M. arenaria mitochondria. The results are discussed in to the light of the Free Radical-Rate of Living theory, (Pearl, R., 1928. The Rate of Living. Alfred Knopf, New York; Harman, D., 1956. Aging: a theory based on free radical and radiation biology. J. Gerontol. 11, 298-300) and the Uncoupling to Survive hypothesis (Brand, M.D., 2000. Uncoupling to survive? The role of mitochondrial inefficiency in ageing. Exp. Gerontol. 35, 811-820). (c) 2005 Elsevier Ireland Ltd. All rights reserved.</t>
  </si>
  <si>
    <t>Alfred Wegener Inst Polar &amp; Marine Res, Okophysiol, D-27568 Bremerhaven, Germany.</t>
  </si>
  <si>
    <t>Pörtner, Hans-O./ISU-9397-2023; Pörtner, Hans-O./K-9429-2016</t>
  </si>
  <si>
    <t>Pörtner, Hans-O./0000-0001-6535-6575; Abele, Doris/0000-0002-5766-5017</t>
  </si>
  <si>
    <t>10.1016/j.mad.2005.02.002</t>
  </si>
  <si>
    <t>WOS:000228681600009</t>
  </si>
  <si>
    <t>Yabuta, H; Naraoka, H; Sakanishi, K; Kawashima, H</t>
  </si>
  <si>
    <t>Solid-state 13C NMR characterization of insoluble organic matter from Antarctic CM2 chondrites:: Evaluation of the meteoritic alteration level</t>
  </si>
  <si>
    <t>YAMATO-791198 CARBONACEOUS CHONDRITES; MURCHISON METEORITE; ISOTOPIC COMPOSITIONS; CARBOXYLIC-ACIDS; AMINO-ACIDS; HYDROCARBONS; SPECTROSCOPY; ORGUEIL; POLYMER; ORIGIN</t>
  </si>
  <si>
    <t>Chemical stnictures of the insoluble organic matter (IOM) from the Antarctic CM2 chondrites (Yamato [Y-] 791198, 793321; Belgica [B-] 7904; Asuka [A-] 881280, 881334) and the Murchison meteorite were analyzed by solid-state (13)C nuclear magnetic resonance (NMR) spectroscopy. Different types of carbons were characterized, such as aliphatic carbon (Ali-C), aliphatic carbon linked to hetero atom (Hetero-Ali-C), aromatic carbon (Aro-C), carboxyls (COOR), and carbonyls (C=O). The spectra of the IOM from Murchison and Y-791198 showed two major peaks: Ali-C and Aro-C, while the spectra from the other meteorites showed only one major peak of Aro-C. Carbon distribution was determined both by manual integration and deconvolution. For most IOM, the Aro-C was the most abundant (49.8-67.8%) of all carbon types. When the ratios of Ali-C to Aro-C (Ali/Aro) were plotted with the atomic hydrogen to carbon ratio (H/C), a correlation was observed. If we use the H/C as a parameter for the thermal alteration event on the meteorite parent body, this result shows a different extent of thermal alteration. In addition, IOM with a lower Ali/Aro showed a lower ratio of Ali-C to COOR plus C=O (Ali / (COOR + C=O)). This result suggests that the ratio of CO moieties to aliphatic carbon in IOM might reflect chemical oxidation that was involved in hydrothermal alteration.</t>
  </si>
  <si>
    <t>Okayama Univ, Dept Earth Sci, Okayama 7008530, Japan; Japan Aerosp Explorat Agcy, Inst Space &amp; Astronaut Sci, Kanagawa 2298510, Japan; Natl Inst Adv Ind Sci &amp; Technol, Tsukuba, Ibaraki 3058569, Japan</t>
  </si>
  <si>
    <t>Okayama University; Japan Aerospace Exploration Agency (JAXA); Institute of Space &amp; Astronautical Science (ISAS); National Institute of Advanced Industrial Science &amp; Technology (AIST)</t>
  </si>
  <si>
    <t>Yabuta, H (corresponding author), Carnegie Inst Washington, Geophys Lab, 5251 Broad Branch Rd NW, Washington, DC 20015 USA.</t>
  </si>
  <si>
    <t>hyabuta@gl.ciw.edu</t>
  </si>
  <si>
    <t>Yabuta, Hikaru/S-2662-2018; Yabuta, Hikaru/M-9041-2014</t>
  </si>
  <si>
    <t>Naraoka, Hiroshi/0000-0002-2373-8759</t>
  </si>
  <si>
    <t>WILEY-BLACKWELL</t>
  </si>
  <si>
    <t>10.1111/j.1945-5100.2005.tb00979.x</t>
  </si>
  <si>
    <t>952XX</t>
  </si>
  <si>
    <t>WOS:000231040700009</t>
  </si>
  <si>
    <t>Friedmann, EI; Sun, HJ</t>
  </si>
  <si>
    <t>Communities adjust their temperature optima by shifting producer-to-consumer ratio, shown in lichens as models: I. Hypothesis</t>
  </si>
  <si>
    <t>MICROBIAL ECOLOGY</t>
  </si>
  <si>
    <t>CRYPTOENDOLITHIC MICROBIAL ENVIRONMENT; VICTORIA-LAND; ROSS DESERT; DRY VALLEYS; ANTARCTICA; GROWTH; BACTERIA</t>
  </si>
  <si>
    <t>An apparent paradox exists in the ecology of Antarctic lichens: their net photosynthetic temperature optimum (around 0 degrees C) lies far below the temperature optima of their constituent algae and fungi ( around 20 degrees C). To address this paradox, we consider lichens as microbial communities and propose the community adaptation'' hypothesis, which posits that in each thermal regime there is an equilibrium between photosynthetic primary producers (photobionts), and heterotrophic consumers (mycobiont and parasymbiont fungi). This equilibrium, expressed as the producer/consumer ratio (R-p/c), maximizes the fitness of the community. As respiration increases with temperature, more rapidly than does photosynthesis, R-p/c will shift accordingly in warm habitats, resulting in a high-growth temperature optimum for the community (the lichen). This lends lichens an adaptive flexibility that enables them to function optimally at any thermal regime within the tolerance limits of the constituent organisms. The variable equilibrium of producers and consumers may have a similar role in thermal adaptation of more complex communities and ecosystems.</t>
  </si>
  <si>
    <t>NASA, Ames Res Ctr, Moffett Field, CA 94035 USA; Desert Res Inst, Las Vegas, NV 89119 USA</t>
  </si>
  <si>
    <t>National Aeronautics &amp; Space Administration (NASA); NASA Ames Research Center; Nevada System of Higher Education (NSHE); Desert Research Institute NSHE</t>
  </si>
  <si>
    <t>Friedmann, EI (corresponding author), NASA, Ames Res Ctr, Mail Stop 245-3, Moffett Field, CA 94035 USA.</t>
  </si>
  <si>
    <t>ifriedmann@mail.arc.nasa.gov</t>
  </si>
  <si>
    <t>0095-3628</t>
  </si>
  <si>
    <t>MICROBIAL ECOL</t>
  </si>
  <si>
    <t>Microb. Ecol.</t>
  </si>
  <si>
    <t>10.1007/s00248-005-3680-4</t>
  </si>
  <si>
    <t>Ecology; Marine &amp; Freshwater Biology; Microbiology</t>
  </si>
  <si>
    <t>Environmental Sciences &amp; Ecology; Marine &amp; Freshwater Biology; Microbiology</t>
  </si>
  <si>
    <t>962AY</t>
  </si>
  <si>
    <t>WOS:000231704600004</t>
  </si>
  <si>
    <t>Nichols, CM; Lardière, SG; Bowman, JP; Nichols, PD; Gibson, JAE; Guézennec, J</t>
  </si>
  <si>
    <t>Chemical characterization of exopolysaccharides from Antarctic marine bacteria</t>
  </si>
  <si>
    <t>POLYMERIC SUBSTANCES EPSS; ICE MICROBIAL COMMUNITIES; SEA-ICE; EXOPOLYMERIC SUBSTANCES; MCMURDO-SOUND; SP. NOV.; FLAVOBACTERIUM; DIVERSITY; ABUNDANCE; GROWTH</t>
  </si>
  <si>
    <t>Exopolysaccharides (EPS) may have an important role in the Antarctic marine environment, possibly acting as ligands for trace metal nutrients such as iron or providing cryoprotection for growth at low temperature and high salinity. Ten bacterial strains, isolated from Southern Ocean particulate material or from sea ice, were characterized. Whole cell fatty acid profiles and 16S rRNA gene sequences showed that the isolates included representatives of the genera Pseudoalteromonas, Shewanella, Polaribacter, and Flavobacterium as well as one strain, which constituted a new bacterial genus in the family Flavobacteriaceae. The isolates are, therefore, members of the Gammaproteobacteria and Cytophaga-Flexibacter-Bacteroides, the taxonomic groups that have been shown to dominate polar sea ice and seawater microbial communities. Exopolysaccharides produced by Antarctic isolates were characterized. Chemical composition and molecular weight data revealed that these EPS were very diverse, even among six closely related Pseudoalteromonas isolates. Most of the EPS contained charged uronic acid residues; several also contained sulfate groups. Some strain produced unusually large polymers (molecular weight up to 5.7 MDa) including one strain in which EPS synthesis is stimulated by low temperature. This study represents a first step in the understanding of the role of bacterial EPS in the Antarctic marine environment.</t>
  </si>
  <si>
    <t>Univ Tasmania, Ctr Marine Sci, Sch Agr Sci, Hobart, Tas 7000, Australia; IFREMER, Ctr Brest, F-29280 Plouzane, France; Univ Tasmania, Australian Food Safety Ctr, Hobart, Tas 7000, Australia; Commonwealth Sci &amp; Ind Res Org, Marine Res, Hobart, Tas 7000, Australia</t>
  </si>
  <si>
    <t>University of Tasmania; Ifremer; University of Tasmania; Commonwealth Scientific &amp; Industrial Research Organisation (CSIRO)</t>
  </si>
  <si>
    <t>Univ Tasmania, Ctr Marine Sci, Sch Agr Sci, Hobart, Tas 7000, Australia.</t>
  </si>
  <si>
    <t>C.A.Mancuso@utas.edu.au</t>
  </si>
  <si>
    <t>Nichols, Peter D/C-5128-2011; Nichols, Carol/C-2290-2008; Bowman, John P/C-2414-2014; Bowman, John P./ABF-5108-2020</t>
  </si>
  <si>
    <t>Nichols, Carol/0000-0002-2739-4690; Bowman, John P/0000-0002-4528-9333; Bowman, John P./0000-0002-4528-9333</t>
  </si>
  <si>
    <t>1432-184X</t>
  </si>
  <si>
    <t>MICROB ECOL</t>
  </si>
  <si>
    <t>10.1007/s00248-004-0093-8</t>
  </si>
  <si>
    <t>WOS:000231704600010</t>
  </si>
  <si>
    <t>Deagle, BE; Tollit, DJ; Jarman, SN; Hindell, MA; Trites, AW; Gales, NJ</t>
  </si>
  <si>
    <t>Molecular scatology as a tool to study diet: analysis of prey DNA in scats from captive Steller sea lions</t>
  </si>
  <si>
    <t>MOLECULAR ECOLOGY</t>
  </si>
  <si>
    <t>denaturing gradient gel electrophoresis; Eumetopias jubatus; faeces; hard parts; noninvasive; species identification</t>
  </si>
  <si>
    <t>POLYMERASE-CHAIN-REACTION; PHOCA-VITULINA-RICHARDSI; SINGLE-BASE CHANGES; EUMETOPIAS-JUBATUS; PREDATOR DIETS; FECAL SAMPLES; HARBOR-SEALS; IDENTIFICATION; FECES; CONSUMPTION</t>
  </si>
  <si>
    <t>The DNA of prey present in animal scats may provide a valuable source of information for dietary studies. We conducted a captive feeding trial to test whether prey DNA could be reliably detected in scat samples from Steller sea lions (Eumetopias jubatus). Two sea lions were fed a diet of fish (five species) and squid (one species), and DNA was extracted from the soft component of collected scats. Most of the DNA obtained came from the predator, but prey DNA could be amplified using prey-specific primers. The four prey species fed in consistent daily proportions throughout the trial were detected in more than 90% of the scat DNA extractions. Squid and sockeye salmon, which were fed as a relatively small percentage of the daily diet, were detected as reliably as the more abundant diet items. Prey detection was erratic in scats collected when the daily diet was fed in two meals that differed in prey composition, suggesting that prey DNA is passed in meal specific pulses. Prey items that were removed from the diet following one day of feeding were only detected in scats collected within 48 h of ingestion. Proportions of fish DNA present in eight scat samples (evaluated through the screening of clone libraries) were roughly proportional to the mass of prey items consumed, raising the possibility that DNA quantification methods could provide semi-quantitative diet composition data. This study should be of broad interest to researchers studying diet since it highlights an approach that can accurately identify prey species and is not dependent on prey hard parts surviving digestion.</t>
  </si>
  <si>
    <t>Univ Tasmania, Dept Zool, Hobart, Tas 7000, Australia; Australian Antarctic Div, Kingston, Tas 7050, Australia; Univ British Columbia, Marine Mammal Res Unit, Fisheries Ctr, Vancouver, BC V6T 1Z4, Canada</t>
  </si>
  <si>
    <t>University of Tasmania; Australian Antarctic Division; University of British Columbia</t>
  </si>
  <si>
    <t>Deagle, BE (corresponding author), Univ Tasmania, Dept Zool, Box 252-05, Hobart, Tas 7000, Australia.</t>
  </si>
  <si>
    <t>bedeagle@utas.edu.au</t>
  </si>
  <si>
    <t>Hindell, Mark A/C-8368-2013; Deagle, Bruce E/A-9854-2008; Hindell, Mark A/K-1131-2013; Trites, Andrew/K-5648-2012; Deagle, Bruce E/R-2999-2019; Jarman, Simon/H-9265-2016</t>
  </si>
  <si>
    <t>Deagle, Bruce E/0000-0001-7651-3687; Hindell, Mark/0000-0002-7823-7185; Trites, Andrew/0000-0003-0342-5322; Jarman, Simon/0000-0002-0792-9686</t>
  </si>
  <si>
    <t>0962-1083</t>
  </si>
  <si>
    <t>MOL ECOL</t>
  </si>
  <si>
    <t>Mol. Ecol.</t>
  </si>
  <si>
    <t>10.1111/j.1365-294X.2005.02531.x</t>
  </si>
  <si>
    <t>Biochemistry &amp; Molecular Biology; Ecology; Evolutionary Biology</t>
  </si>
  <si>
    <t>Biochemistry &amp; Molecular Biology; Environmental Sciences &amp; Ecology; Evolutionary Biology</t>
  </si>
  <si>
    <t>916OV</t>
  </si>
  <si>
    <t>WOS:000228395900019</t>
  </si>
  <si>
    <t>Manney, GL; Allen, DR; Krüger, K; Naujokat, B; Santee, ML; Sabutis, JL; Pawson, S; Swinbank, R; Randall, CE; Simmons, AJ; Long, C</t>
  </si>
  <si>
    <t>Diagnostic comparison of meteorological analyses during the 2002 antarctic winter</t>
  </si>
  <si>
    <t>MONTHLY WEATHER REVIEW</t>
  </si>
  <si>
    <t>SOUTHERN-HEMISPHERE; STRATOSPHERIC ANALYSES; OZONE; TRANSPORT; MODEL; REANALYSIS; NORTHERN; SIMULATIONS; CHEMISTRY; OFFICE</t>
  </si>
  <si>
    <t>Several meteorological datasets, including U.K. Met Office (MetO), European Centre for Medium-Range Weather Forecasts (ECMWF), National Centers for Environmental Prediction (NCEP), and NASA's Goddard Earth Observation System (GEOS-4) analyses, are being used in studies of the 2002 Southern Hemisphere (SH) stratospheric winter and Antarctic major warming. Diagnostics are compared to assess how these studies may be affected by the meteorological data used. While the overall structure and evolution of temperatures, winds, and wave diagnostics in the different analyses provide a consistent picture of the large-scale dynamics of the SH 2002 winter, several significant differences may affect detailed studies. The NCEP-NCAR reanalysis (REAN) and NCEP-Department of Energy (DOE) reanalysis-2 (REAN-2) datasets are not recommended for detailed studies, especially those related to polar processing, because of lower-stratospheric temperature biases that result in underestimates of polar processing potential, and because their winds and wave diagnostics show increasing differences from other analyses between similar to 30 and 10 hPa (their top level). Southern Hemisphere polar stratospheric temperatures in the ECMWF 40-Yr Re-analysis (ERA-40) show unrealistic vertical structure, so this long-term reanalysis is also unsuited for quantitative studies. The NCEP/Climate Prediction Center (CPC) objective analyses give an inferior representation of the upper-stratospheric vortex. Polar vortex transport barriers are similar in all analyses, but there is large variation in the amount, patterns, and timing of mixing, even among the operational assimilated datasets (ECMWF, MetO, and GEOS-4). The higher-resolution GEOS-4 and ECMWF assimilations provide significantly better representation of filamentation and small-scale structure than the other analyses, even when fields gridded at reduced resolution are studied. The choice of which analysis to use is most critical for detailed transport studies (including polar process modeling) and studies involving synoptic evolution in the upper stratosphere. The operational assimilated datasets are better suited for most applications than the NCEP/CPC objective analyses and the reanalysis datasets (REAN/REAN-2 and ERA-40).</t>
  </si>
  <si>
    <t>New Mexico Highlands Univ, Dept Nat Sci, Sch Educ, Las Vegas, NM 87701 USA; New Mexico Highlands Univ, Dept Math Sci, Las Vegas, NM 87701 USA; CALTECH, Jet Prop Lab, Pasadena, CA 91125 USA; USN, Res Lab, Remote Sensing Div, Washington, DC 20375 USA; Free Univ Berlin, Inst Meteorol, D-1000 Berlin, Germany; NASA, Goddard Space Flight Ctr, Greenbelt, MD 20771 USA; Univ Maryland Baltimore Cty, Goddard Earth Sci &amp; Technol Ctr, Baltimore, MD 21228 USA; Met Off, Exeter, Devon, England; Univ Colorado, Atmospher &amp; Space Phys Lab, Boulder, CO 80309 USA; European Ctr Medium Range Weather Forecasts, Reading RG2 9AX, Berks, England; NOAA, Climate Predict Ctr, Camp Springs, MD USA</t>
  </si>
  <si>
    <t>California Institute of Technology; National Aeronautics &amp; Space Administration (NASA); NASA Jet Propulsion Laboratory (JPL); United States Department of Defense; United States Navy; Naval Research Laboratory; Free University of Berlin; National Aeronautics &amp; Space Administration (NASA); NASA Goddard Space Flight Center; University System of Maryland; University of Maryland Baltimore County; National Aeronautics &amp; Space Administration (NASA); NASA Goddard Space Flight Center; Met Office - UK; University of Colorado System; University of Colorado Boulder; European Centre for Medium-Range Weather Forecasts (ECMWF); National Oceanic Atmospheric Admin (NOAA) - USA</t>
  </si>
  <si>
    <t>New Mexico Highlands Univ, Dept Nat Sci, Sch Educ, Las Vegas, NM 87701 USA.</t>
  </si>
  <si>
    <t>Manney, Gloria/JED-7207-2023; Allen, Douglas Ray/GWZ-8901-2022; Santee, MIchelle/R-5762-2019; RANDALL, CORA/L-8760-2014; Pawson, Steven/I-1865-2014</t>
  </si>
  <si>
    <t>RANDALL, CORA/0000-0002-4313-4397; Pawson, Steven/0000-0003-0200-717X; Allen, Douglas/0000-0003-2747-9712</t>
  </si>
  <si>
    <t>0027-0644</t>
  </si>
  <si>
    <t>1520-0493</t>
  </si>
  <si>
    <t>MON WEATHER REV</t>
  </si>
  <si>
    <t>Mon. Weather Rev.</t>
  </si>
  <si>
    <t>10.1175/MWR2926.1</t>
  </si>
  <si>
    <t>930CH</t>
  </si>
  <si>
    <t>WOS:000229392900013</t>
  </si>
  <si>
    <t>Voronina, NM; Maslennikov, VV; Rat'kova, TN</t>
  </si>
  <si>
    <t>Changes in the structure of antarctic plankton in the regions of mass development of salps</t>
  </si>
  <si>
    <t>OCEANOLOGY</t>
  </si>
  <si>
    <t>MARGINAL ICE-ZONE; PACIFIC SECTOR; SOUTHERN-OCEAN; CHEMICAL-COMPOSITION; CARBON FLUX; FOOD-WEB; ZOOPLANKTON; KRILL; SEA; FEBRUARY</t>
  </si>
  <si>
    <t>The spatial structure of plankton in the Pacific sector of the Antarctic was studied in the region of a giant swarm of salps. In February-March 1992, the studies were carried out at eight stations of the section along 67 degrees S between 106 degrees 50' and 175 degrees 37'W. The taxonomic composition and biomass of the phytoplankton in the layer of 0-200 in and of the zooplankton filter feeders (Copepoda, Euphausiida, and Salpa) in the depth range 0-1500 in were studied. Three types of structures different in their total abundances were distinguished in the study basin, and the relations between the main components were examined. The first type was characteristic of the stations forming the background area. It was characterized by a moderate development of phytoplankton (220 g/m(2)) and the domination of copepods, which represented 90% of the zooplankton biomass in wet weight on the average. Euphausiids were scarce as everywhere (3.2%). Salps were found only occasionally. The structure of the second type was characteristic of the salp region located in the middle of the section, which crossed the frontal zone and was the structure of the third type. Both latter structures were characterized by mass development of salps, which represented 99 and 96% of the biomass, respectively. The differences between them were in the extremely low content of phytoplankton at the stations of the second structure (45 g/m2) and its maximum (270 g/m2) in the third structure. The ratio of the biomasses of the phytoplankton and zooplankton in the three sites was 15 : 0.06 : 1, respectively. It was shown that the aggregation of salps was represented by two foci of increased biomass. The former was related to the eastern branch of the Ross Gyre, while the latter was associated with the western branch of the Antarctic Circumpolar Current. An upwelling of the deep water occurs between them. The stations rich in salps are characterized by the highest temperatures of the deep water (T,,,a,,). This temperature is an indicator of its inflow. The described diversity of the plankton distribution is determined by two main factors: the increased advection of salps, on the one hand, and the eating up of the phytoplankton by salps, which undermines the food resources of copepods, on the other hand. The annual secondary production of zooplankton was calculated for different parts of the section, which, after conversion to carbon units, appeared very similar in the regions of the copepod and salp domination of the section. The possibility of conserving the described composition of plankton in the future is discussed.</t>
  </si>
  <si>
    <t>Russian Acad Sci, Shirshov Inst Oceanol, Moscow, Russia; All Russia Res Inst Marine Fisheries &amp; Oceanog, Moscow, Russia</t>
  </si>
  <si>
    <t>Russian Academy of Sciences; Shirshov Institute of Oceanology; Research lnstitute of Fisheries &amp; Oceanography</t>
  </si>
  <si>
    <t>Voronina, NM (corresponding author), Russian Acad Sci, Shirshov Inst Oceanol, Moscow, Russia.</t>
  </si>
  <si>
    <t>0001-4370</t>
  </si>
  <si>
    <t>1531-8508</t>
  </si>
  <si>
    <t>OCEANOLOGY+</t>
  </si>
  <si>
    <t>Oceanology</t>
  </si>
  <si>
    <t>951LL</t>
  </si>
  <si>
    <t>WOS:000230931700009</t>
  </si>
  <si>
    <t>Frederick, JE; Liao, YX</t>
  </si>
  <si>
    <t>Photosynthetically active sunlight at high southern latitudes</t>
  </si>
  <si>
    <t>PHOTOCHEMISTRY AND PHOTOBIOLOGY</t>
  </si>
  <si>
    <t>ULTRAVIOLET-RADIATION</t>
  </si>
  <si>
    <t>A network of scanning spectroradiometers has acquired a multiyear database of visible solar irradiance, covering wavelengths from 400 to 600 nm, at four sites in the high-latitude Southern Hemisphere, from 55 degrees S to 90 degrees S. Monthly irradiations computed from the hourly measurements reveal the character of the seasonal cycle and illustrate the role of cloudiness as functions of latitude. Near summer solstice, the combined influences of solar elevation and the duration of daylight would produce a monthly irradiation with little latitude dependence under clear skies. However, the attenuation associated with local cloudiness varies geographically, with the greatest effect at the most northern locations, Ushuaia, Argentina and Palmer Station on the Antarctic Peninsula. Near summer solstice, the South Pole experiences the largest monthly irradiation of the sites studied, where relatively clear skies contribute to this result. Scaling factors derived from radiative-transfer calculations combined with the measured 400-600 nm irradiances allow estimating irradiances integrated over the wavelength band 400-700 nm. This produces a climatology of photosynthetically active radiation for each month of the year at each site.</t>
  </si>
  <si>
    <t>Univ Chicago, Dept Geophys Sci, Chicago, IL 60637 USA</t>
  </si>
  <si>
    <t>University of Chicago</t>
  </si>
  <si>
    <t>Frederick, JE (corresponding author), Univ Chicago, Dept Geophys Sci, 5734 S Ellis Ave, Chicago, IL 60637 USA.</t>
  </si>
  <si>
    <t>frederic@uchicago.edu</t>
  </si>
  <si>
    <t>AMER SOC PHOTOBIOLOGY</t>
  </si>
  <si>
    <t>AUGUSTA</t>
  </si>
  <si>
    <t>BIOTECH PARK, 1021 15TH ST, SUITE 9, AUGUSTA, GA 30901-3158 USA</t>
  </si>
  <si>
    <t>0031-8655</t>
  </si>
  <si>
    <t>PHOTOCHEM PHOTOBIOL</t>
  </si>
  <si>
    <t>Photochem. Photobiol.</t>
  </si>
  <si>
    <t>10.1562/2004-05-17-RA-171.1</t>
  </si>
  <si>
    <t>Biochemistry &amp; Molecular Biology; Biophysics</t>
  </si>
  <si>
    <t>935CP</t>
  </si>
  <si>
    <t>WOS:000229757200022</t>
  </si>
  <si>
    <t>El-Sayed, SZ</t>
  </si>
  <si>
    <t>History and evolution of primary productivity studies of the Southern Ocean</t>
  </si>
  <si>
    <t>ZONE COLOR SCANNER; ICE-EDGE; ULTRAVIOLET-RADIATION; PHYTOPLANKTON GROWTH; POLAR PHYTOPLANKTON; DIEL PERIODICITY; OZONE DEPLETION; STANDING CROP; ROSS SEA; IN-SITU</t>
  </si>
  <si>
    <t>The main objective of the article is to give an overview of the history and evolution of phytoplankton research in the Southern Ocean during the past century and a half. It traces the evolution of phytoplankton investigations as it went through several phases commencing with intensive collecting and cataloging and leading to the Discovery investigations with its extensive and detailed studies of Southern Ocean phytoplankton. Following, in the footsteps of the Discovery was the USNS Eltanin with its specialized cruises that centered around the study of the ecology of the primary producers and the dynamics of the lower trophic levels of the food chain. Spurred by the findings of the Eltanin cruises and with the growing concern over the impending exploitation of the Antarctic marine living resources, in particular krill, the BIOMASS program was initiated. The program was the first international collaborative effort to study the dynamic functioning of the Antarctic marine ecosystem. The success of the program has rekindled great international interest in the Southern Ocean which resulted in an explosion of programs such as SO-JGOFS, SO-GLOBEC, EPOS, and several others. In recent years, there has been a major shift in phytoplankton research in the Southern Ocean. This was in response to worldwide concern over the effects of global warming and stratospheric ozone depletion on species diversity, primary production and ecosystem function. This has led to process-oriented programs to study phenomena and processes of global significance in which Antarctica and its surrounding seas play key roles.</t>
  </si>
  <si>
    <t>Texas A&amp;M Univ, Dept Oceanog, College Stn, TX 77843 USA</t>
  </si>
  <si>
    <t>Texas A&amp;M University System; Texas A&amp;M University College Station</t>
  </si>
  <si>
    <t>Texas A&amp;M Univ, Dept Oceanog, College Stn, TX 77843 USA.</t>
  </si>
  <si>
    <t>elsayed@ocean.tamu.edu</t>
  </si>
  <si>
    <t>10.1007/s00300-004-0685-2</t>
  </si>
  <si>
    <t>926GD</t>
  </si>
  <si>
    <t>WOS:000229110300001</t>
  </si>
  <si>
    <t>Sohlenius, B; Boström, S</t>
  </si>
  <si>
    <t>The geographic distribution of metazoan microfauna on East Antarctic nunataks</t>
  </si>
  <si>
    <t>DRONNING-MAUD-LAND; DRY VALLEYS; TARDIGRADES; NEMATODES; ROTIFERS; BIOGEOGRAPHY; ECOLOGY; FAUNA</t>
  </si>
  <si>
    <t>The abundance and distribution of nematodes, rotifers and tardigrades in samples from nunataks in continental Antarctica were investigated during four Antarctic expeditions in the austral summers of 1991/92, 1993/94, 1996/97 and 2001/02. Altogether 368 samples were collected from 14 nunataks and one oasis in East Antarctica. Nematodes were found in 35%, rotifers in 67% and tardigrades in 40% of all samples. Fifty-four microfaunal taxa were identified. Of these, 27 were nematodes, 8 tardigrades and 19 rotifers. The size and geographic location of the nunatak and oasis influenced the abundance and taxonomic composition of the microfauna. The highest abundance and diversity of nematodes were found on large nunataks close to the coast. Nematodes were not found on small inland nunataks. Very high population densities of tardigrades and rotifers were found on two small and isolated nunataks. No microfauna was found on the two southernmost nunataks (Okkenhaugrusta and Vardeklettane), or on the smallest one (Utsikta). The Sorensen's Quotient of Similarity was generally low, especially between faunas on nunataks in different mountain ridges. The results indicate rather limited rates of dispersal and colonization between nunataks.</t>
  </si>
  <si>
    <t>Swedish Museum Nat Hist, Dept Invertebrate Zool, S-10405 Stockholm, Sweden</t>
  </si>
  <si>
    <t>Swedish Museum of Natural History</t>
  </si>
  <si>
    <t>Sohlenius, B (corresponding author), Swedish Museum Nat Hist, Dept Invertebrate Zool, Box 50007, S-10405 Stockholm, Sweden.</t>
  </si>
  <si>
    <t>bjorn.sohlenius@nrm.se</t>
  </si>
  <si>
    <t>10.1007/s00300-004-0708-z</t>
  </si>
  <si>
    <t>WOS:000229110300002</t>
  </si>
  <si>
    <t>Kidawa, A</t>
  </si>
  <si>
    <t>Behavioural and metabolic responses of the Antarctic sea star Odontaster validus to food stimuli of different concentration</t>
  </si>
  <si>
    <t>LUIDIA-CLATHRATA ECHINODERMATA; LOBSTER HOMARUS-GAMMARUS; CHEMICAL COMMUNICATION; ODOR; CHEMORECEPTION; PREDATORS; PREY; SIGNALS; BAIT; SIZE</t>
  </si>
  <si>
    <t>Experiments were carried out to study the behavioural and metabolic responses of the Antarctic sea star, Odontaster validus, to different concentration of food signals (glutamic acid, aspartic acid, glicyne, alanine, tyrosine and a mixture of 11 amino acids). Stimulus concentration increase caused a rise in both the percentage of reacting animals and in the reaction intensity. At low stimulus concentration, O. validus reaction consisted of tube foot waving, and only high concentrations elicited a complicated sequence of several types of behaviour. The metabolic rate of small O. validus was more sensitive to chemical stimuli than of large individuals, with small sea stars reacting even to low signal concentration. It can be speculated that small body size can be a factor restricting sea star capabilities and influencing its reaction to chemical signals.</t>
  </si>
  <si>
    <t>Polish Acad Sci, Dept Antarctic Biol, PL-02131 Warsaw, Poland</t>
  </si>
  <si>
    <t>Kidawa, A (corresponding author), Polish Acad Sci, Dept Antarctic Biol, Ul Ustrzycka 10-12, PL-02131 Warsaw, Poland.</t>
  </si>
  <si>
    <t>aniak@dab.waw.pl</t>
  </si>
  <si>
    <t>10.1007/s00300-004-0705-2</t>
  </si>
  <si>
    <t>WOS:000229110300003</t>
  </si>
  <si>
    <t>Bailey, DM; Johnston, IA; Peck, LS</t>
  </si>
  <si>
    <t>Invertebrate muscle performance at high latitude:: swimming activity in the Antarctic scallop, Adamussium colbecki</t>
  </si>
  <si>
    <t>JUVENILE SEA SCALLOPS; PLACOPECTEN-MAGELLANICUS (GMELIN); ASTERIAS-VULGARIS VERRILL; CANCER-IRRORATUS SAY; CONTRACTILE PROPERTIES; ARGOPECTEN-IRRADIANS; ADDUCTOR MUSCLE; POWER OUTPUT; BAY SCALLOP; TEMPERATURE</t>
  </si>
  <si>
    <t>The escape swimming performance of the Antarctic scallop, Adamussium colbecki, was measured in animals acclimated for 6 weeks to -1, 0 or 2° C and tested at -1.5 to +1.5° C. Clap duration and swimming velocity were significantly related to temperature, but were not affected by acclimation, demonstrating no phenotypic plasticity. Comparisons of the mean swimming velocity of A. colbecki with the published data for temperate and tropical species showed little evidence for evolutionary compensation for temperature, with all data fitting to a single exponential relationship with a Q(10) of 2.08 (0-20° C). The contraction kinetics of the isolated fast adductor muscle of A. colbecki were determined and the times to 50% peak tension and 50% relaxation had Q(10)s (0-4° C) of 3.6 and 4.7, respectively. The Q(10) of the overall relationship for pooled time to peak twitch data for four scallop species was 2.05 (0-20° C). Field studies revealed low mobility and poor escape performance in wild A. colbecki. A combination of thermodynamic constraints, reduced food supply, and lower selective pressure probably explains the low levels of swimming performance seen in A. colbecki.</t>
  </si>
  <si>
    <t>Univ Calif San Diego, Scripps Inst Oceanog, Div Marine Biol Res, La Jolla, CA 92093 USA; Univ St Andrews, Sch Biol, Gatty Marine Lab, St Andrews KY16 8LB, Fife, Scotland; British Antarctic Survey, NERC, Cambridge CB3 0ET, England</t>
  </si>
  <si>
    <t>University of California System; University of California San Diego; Scripps Institution of Oceanography; University of St Andrews; UK Research &amp; Innovation (UKRI); Natural Environment Research Council (NERC); NERC British Antarctic Survey</t>
  </si>
  <si>
    <t>Bailey, DM (corresponding author), Univ Calif San Diego, Scripps Inst Oceanog, Div Marine Biol Res, 9500 Gilman Dr, La Jolla, CA 92093 USA.</t>
  </si>
  <si>
    <t>d4bailey@ucsd.edu</t>
  </si>
  <si>
    <t>Johnston, Ian A/D-6592-2013; Johnston, Ian A./AAE-2044-2019; Bailey, David/A-6240-2008</t>
  </si>
  <si>
    <t>Bailey, David/0000-0002-0824-8823</t>
  </si>
  <si>
    <t>10.1007/s00300-004-0699-9</t>
  </si>
  <si>
    <t>WOS:000229110300005</t>
  </si>
  <si>
    <t>Tosi, S; Onofri, S; Brusoni, M; Zucconi, L; Vishniac, H</t>
  </si>
  <si>
    <t>Response of Antarctic soil fungal assemblages to experimental warming and reduction of UV radiation</t>
  </si>
  <si>
    <t>ULTRAVIOLET-RADIATION; GROWTH; SPORES; LAND</t>
  </si>
  <si>
    <t>This paper reports the effects of nutrient availability, UV radiation and temperature on the taxa composition and abundance of Antarctic soil mycobiota. Two sites at Edmonson Point were studied: the first was poor in nutrients, near the glacier, and the second was close to bird nesting sites. The highest abundance of soil fungi was recorded at the site adjacent to the bird nesting sites. Phoma herbarum was the most abundant taxon. Lecytophora lignicola and Ascotricha erinacea are new records for continental Antarctica. The fungal assemblage from the nutrient-deficient site was characterized by a dominance-diversity curve approaching the broken-stick model, the assemblage from the soil influenced by birds was characterized by a lognormal distribution. Plastic cloches were used in experiments designed to assess differences in fungal assemblages subjected to altered temperature and/or UV exposure. Dominance-diversity curves and diversity values of soil fungal mycobiota were compared in their natural condition as compared with manipulated conditions. Under the walled cloches, at both sites, artificial warming led to stress on Antarctic soil fungal assemblages. In contrast, UV protection led to a higher equilibrium in the assemblage structure. On the basis of the results obtained, it could be proposed that UV radiation is the most important limiting ecological factor for soil mycobiota in continental Antarctica.</t>
  </si>
  <si>
    <t>Univ Pavia, Dipartimento Ecol Terr &amp; Ambienti Terr, I-27100 Pavia, Italy; Univ Tuscia, Dipartimento Sci Ambientali, I-01100 Viterbo, Italy; Oklahoma State Univ, Dept Microbiol, Stillwater, OK 74078 USA</t>
  </si>
  <si>
    <t>University of Pavia; Tuscia University; Oklahoma State University System; Oklahoma State University - Stillwater</t>
  </si>
  <si>
    <t>Univ Pavia, Dipartimento Ecol Terr &amp; Ambienti Terr, Via S Epifanio 14, I-27100 Pavia, Italy.</t>
  </si>
  <si>
    <t>stosi@et.unipv.it</t>
  </si>
  <si>
    <t>Tosi, Solveig/AAC-9482-2019; Zucconi, L./U-9781-2018</t>
  </si>
  <si>
    <t>Tosi, Solveig/0000-0002-6769-6984; Zucconi, L./0000-0001-9793-2303; ONOFRI, Silvano/0000-0001-8872-1440</t>
  </si>
  <si>
    <t>10.1007/s00300-004-0698-x</t>
  </si>
  <si>
    <t>WOS:000229110300006</t>
  </si>
  <si>
    <t>Creuwels, JCS; Stark, JS; Woehler, EJ; van Franeker, JA; Ribic, CA</t>
  </si>
  <si>
    <t>Monitoring of a southern giant petrel Macronectes giganteus population on the Frazier Islands, Wilkes Land, Antarctica</t>
  </si>
  <si>
    <t>LONG-TERM POPULATION; TRENDS; SEABIRDS; ADELIE</t>
  </si>
  <si>
    <t>Since 1956, Southern Giant Petrels on the Frazier Islands, East Antarctica, have been counted with different census techniques, sometimes varying within seasons and among islands, which hindered analysis of the data. Protective measures for the islands from 1986 onwards have increased the need for reliable long-term census data, but reduced the ways to collect these data. Published and unpublished data were re-examined, and population trends were reconstructed based on two relatively standardised techniques: the number of active chicks (AC) and the number of apparently occupied nests (AON) around hatching. AC-values from Nelly Island from 1959 to 1998 indicate substantial periodic fluctuations, but no consistent long-term change. Since the late 1970s, AC-values on the other two islands and AON-values suggest that the breeding population may have grown by 35%. This recent growth, however, is within the extent of periodic fluctuations observed in Southern Giant Petrel population that is stable over the long term.</t>
  </si>
  <si>
    <t>Alterra Texel, Marine &amp; Coastal Zone Res, NL-1790 AD Den Burg, Netherlands; Univ Groningen, Dept Marine Biol, NL-9750 AA Haren, Netherlands; Australian Antarctic Div, Kingston, Tas 7050, Australia; Univ Wisconsin, USGS Wisconsin Cooperat Wildlife Res Unit, Russell Labs 204, Madison, WI 53706 USA</t>
  </si>
  <si>
    <t>Wageningen University &amp; Research; University of Groningen; Australian Antarctic Division; University of Wisconsin System; University of Wisconsin Madison; United States Department of the Interior; United States Geological Survey</t>
  </si>
  <si>
    <t>Alterra Texel, Marine &amp; Coastal Zone Res, POB 167, NL-1790 AD Den Burg, Netherlands.</t>
  </si>
  <si>
    <t>jeroen@creuwels.nl</t>
  </si>
  <si>
    <t>Stark, Jonathan/ABF-4025-2020</t>
  </si>
  <si>
    <t>Stark, Jonathan/0000-0002-4268-8072; Woehler, Eric/0000-0002-1125-0748</t>
  </si>
  <si>
    <t>10.1007/s00300-004-0663-8</t>
  </si>
  <si>
    <t>WOS:000229110300007</t>
  </si>
  <si>
    <t>Shennan, I; Hamilton, S; Hillier, C; Woodroffe, S</t>
  </si>
  <si>
    <t>A 16,000-year record of near-field relative sea-level changes, northwest Scotland, United Kingdom</t>
  </si>
  <si>
    <t>QUATERNARY INTERNATIONAL</t>
  </si>
  <si>
    <t>POSTGLACIAL ISOSTATIC-ADJUSTMENT; RADIOCARBON AGE CALIBRATION; GREAT-BRITAIN; BRITISH-ISLES; HOLOCENE; ARISAIG; MODELS; EARTH</t>
  </si>
  <si>
    <t>Isolation basins, raised tidal marshes, coastal wetlands and dune systems around Arisaig in northwest Scotland produce a similar to 16000-year record of relative sea-level (RSL) change from the time of local deglaciation following the Last Glacial Maximum (LGM) to the present. New sea-level index points from Mointeach Mhor North define the culmination of the mid-Holocene RSL highstand to similar to 7600-7400 cal yr BP and 6.74 +/- 0.2 in above present. Numerous sea-level index points indicate that the RSL highstand persisted more than 1000 years before the onset of any significant RSL fall. This points to a gradual cessation of melting of the Laurentide and Antarctic ice sheets, rather than an abrupt termination. Isolation basin evidence, from a marine limit similar to 34 to 38 in above present down to sites close to current sea level, constrain the acceleration of eustatic sea-level rise during meltwater pulse 1a to similar to 30 mm yr(-1) or similar to 11 km(3) yr(-1) meltwater discharge. Comparison of RSL observations with glacial isostatic adjustment (GIA) model predictions show differences in the pattern of residuals dependent upon the GIA model used. Changes to the far-field ice model components can partly explain the patterns of residuals. (c) 2004 Elsevier Ltd and INQUA. All rights reserved.</t>
  </si>
  <si>
    <t>Univ Durham, Dept Geog, Sea Level Res Unit, Durham DH1 3LE, England</t>
  </si>
  <si>
    <t>Durham University</t>
  </si>
  <si>
    <t>Shennan, I (corresponding author), Univ Durham, Dept Geog, Sea Level Res Unit, Durham DH1 3LE, England.</t>
  </si>
  <si>
    <t>ian.shennan@durham.ac.uk</t>
  </si>
  <si>
    <t>Woodroffe, Sarah/AAA-7001-2019; Shennan, Ian/A-4612-2011</t>
  </si>
  <si>
    <t>Woodroffe, Sarah/0000-0002-4003-3435; Shennan, Ian/0000-0003-3598-0224</t>
  </si>
  <si>
    <t>1040-6182</t>
  </si>
  <si>
    <t>QUATERN INT</t>
  </si>
  <si>
    <t>Quat. Int.</t>
  </si>
  <si>
    <t>10.1016/j.quaint.2004.10.015</t>
  </si>
  <si>
    <t>905OA</t>
  </si>
  <si>
    <t>WOS:000227576900008</t>
  </si>
  <si>
    <t>Ruddiman, WF</t>
  </si>
  <si>
    <t>Cold climate during the closest Stage 11 analog to recent Millennia</t>
  </si>
  <si>
    <t>OXYGEN ISOTOPES; ICE VOLUME; CO2 CHANGE; SEA-LEVEL; RECORD; OCEAN; HOLOCENE; AGE; SHEET</t>
  </si>
  <si>
    <t>The early part of marine isotopic Stage 11 near 400,000 years ago provides the closest analog to Holocene insolation levels of any interglaciation during the era of strong 100,000-year climatic cycles. The CH4 concentration measured in Vostok ice fell to similar to 450ppb, and CO2 values to similar to 250ppm. These natural decreases contrast with the increases in recent millennia and support the early anthropogenic hypothesis of major gas emissions from late-Holocene farming. During the same interval, delta D values fell from typical interglacial to nearly glacial values, indicating a major cooling in Antarctica early in Stage 11. Other evidence suggests that new ice was accumulating during the closest insolation analog to the present day: a major increase in 61801,,m at Vostok, a similar increase in marine 5180 values, and re-initiation of ice rafting in the Nordic Sea. The evidence permits extended (&gt; 20,000 year) intervals of Stage 11 interglacial warmth in the Antarctic and North Atlantic, yet it also requires that this warmth ended and a new glacial era began when insolation was most similar to recent millennia. The Holocene CO2 anomaly was produced only in part by direct anthropogenic emissions; over half of the anomaly resulted from the failure Of CO2 values to fall as they had during previous interglaciations because of natural responses, including a sea-ice advance in the Antarctic and ice-sheet growth in the northern hemisphere. (c) 2004 Elsevier Ltd. All rights reserved.</t>
  </si>
  <si>
    <t>Univ Virginia, Dept Environm Sci, Charlottesville, VA 22904 USA</t>
  </si>
  <si>
    <t>University of Virginia</t>
  </si>
  <si>
    <t>Univ Virginia, Dept Environm Sci, McCormick Rd,Clark Hall, Charlottesville, VA 22904 USA.</t>
  </si>
  <si>
    <t>wfr5c@virginia.edu</t>
  </si>
  <si>
    <t>10-11</t>
  </si>
  <si>
    <t>10.1016/j.quascirev.2004.10.012</t>
  </si>
  <si>
    <t>914WC</t>
  </si>
  <si>
    <t>WOS:000228257700002</t>
  </si>
  <si>
    <t>Bentley, MJ; Hodgson, DA; Smith, JA; Cox, NJ</t>
  </si>
  <si>
    <t>Relative sea level curves for the South Shetland Islands and Marguerite Bay, Antarctic Peninsula</t>
  </si>
  <si>
    <t>KING GEORGE ISLAND; LATE HOLOCENE; LIVINGSTON-ISLAND; SEDIMENT SEQUENCE</t>
  </si>
  <si>
    <t>This paper presents preliminary relative sea level curves for the Marguerite Bay region and for the South Shetland Islands. The Marguerite Bay curve is constrained by both new and previously published C-14 dates on penguin remains and shells, and on two isolation basins dating back to 6500 C-14 yr BP. Extrapolation back to the marine limit yields a minimum deglaciation date for Marguerite Bay of ca 9000 C-14 yr BP. Analysis of beach clasts suggests that there was a period of increased wave activity, perhaps related to a reduction in summer sea-ice extent, between ca 3500 and ca 2400 C-14 yr BP. The curve for the South Shetland Islands is derived entirely from published C-14 dates from isolation basins and on whalebone, penguin bone and seal bone. The curve shows an initial relative sea level fall, which was interrupted by a period in the mid-Holocene when relative sea level rose to a highstand of between 14.5 and 16m above mean sea level (amsl), before falling again. (c) 2004 Elsevier Ltd. All rights reserved.</t>
  </si>
  <si>
    <t>Univ Durham, Dept Geog, Durham DH1 3LE, England; British Antarctic Survey, NERC, Cambridge CB3 0ET, England</t>
  </si>
  <si>
    <t>Durham University; UK Research &amp; Innovation (UKRI); Natural Environment Research Council (NERC); NERC British Antarctic Survey</t>
  </si>
  <si>
    <t>Univ Durham, Dept Geog, South Rd, Durham DH1 3LE, England.</t>
  </si>
  <si>
    <t>m.j.bentley@durham.ac.uk</t>
  </si>
  <si>
    <t>Bentley, Michael J/F-7386-2011; Smith, James A/N-1836-2013</t>
  </si>
  <si>
    <t>Bentley, Michael J/0000-0002-2048-0019;</t>
  </si>
  <si>
    <t>10.1016/j.quascirev.2004.10.004</t>
  </si>
  <si>
    <t>WOS:000228257700007</t>
  </si>
  <si>
    <t>Presti, M; De Santis, L; Brancolini, G; Harris, PT</t>
  </si>
  <si>
    <t>Continental shelf record of the East Antarctic Ice Sheet evolution: seismo-stratigraphic evidence from the George V Basin</t>
  </si>
  <si>
    <t>LAST GLACIAL MAXIMUM; EUSTATIC SEA-LEVEL; LATE PLEISTOCENE; PRYDZ BAY; ROSS SEA; ROBERTSON SHELF; WEDDELL SEA; FACIES; MORPHOLOGY; HISTORY</t>
  </si>
  <si>
    <t>The late Quaternary ice sheet/ice shelf extent in the George V Basin (East Antarctica) has been reconstructed through analyses of Chirp sub-bottom profiles, integrated with multi-channel seismic data and sediment cores. Four glacial facies, related to the advance and retreat history of the glaciated margin, have been distinguished: Facies I represents outcrop of crystalline and sedimentary rocks along the steep inner shelf and comprises canyons once carved by glaciers; Facies 2 represents moraines and morainal banks and ridges with a depositional origin along the middle-inner shelf, Facies 3 represents glacial flutes along the middle-outer shelf, Facies 4 is related to ice-keel turbation at water depths &lt; 500 in along the outer shelf. A sediment drift deposit, located in the NW sector of the study area, partly overlies facies 2 and 3 and its ground-truthing provides clues to understanding their age. We have distinguished: (a) an undisturbed sediment drift deposit at water depth &gt; 775 in, with drape/sheet and mound characters and numerous undisturbed sub-bottom sub-parallel reflectors (Facies MD 1); (b) a fluted sediment drift deposit at water depth &lt; 775 in, showing disrupted reflectors and a hummocky upper surface (Facies MD2). Radiocarbon ages of sediment cores indicate that the glacial advance producing facies MD2 corresponds to the Last Glacial Maximum (LGM) and that during the LGM the ice shelf was floating over the deep sector of the basin, leaving the sediment drift deposit undisturbed at major depths (Facies MDI). This observation further implies that: (a) glacial facies underneath the sediment drift were the result of a grounding event older than the LGM, (b) this sector of the East Antarctic fringe was sensitive to sea-level rise at the end of the LGM; thus potentially contributing to meltwater discharge during the last deglaciation. (c) 2004 Published by Elsevier Ltd.</t>
  </si>
  <si>
    <t>Ist Nazl Oceanog &amp; Geofis Sperimentale OGS, Dipartimento Geofis Litosfera, I-34010 Trieste, Italy; Antarctic CRC &amp; Geosci Australia, Canberra, ACT 2601, Australia</t>
  </si>
  <si>
    <t>Istituto Nazionale di Oceanografia e di Geofisica Sperimentale</t>
  </si>
  <si>
    <t>Presti, M (corresponding author), Hellen Ctr Marine Res, Inst Oceanog, POB 712, Athens 19013, Greece.</t>
  </si>
  <si>
    <t>massimo@ncmr.gr</t>
  </si>
  <si>
    <t>Harris, Peter T/C-6997-2009; Harris, Peter/AAI-7100-2020</t>
  </si>
  <si>
    <t>De Santis, Laura/0000-0002-7752-7754</t>
  </si>
  <si>
    <t>10.1016/j.quascirev.2004.10.008</t>
  </si>
  <si>
    <t>WOS:000228257700009</t>
  </si>
  <si>
    <t>Ohanian, M; Caraballo, R; Dalchiele, EA; Guineo-Cobs, G; Martínez-Luaces, V; Quagliata, E</t>
  </si>
  <si>
    <t>Corrosion products formed from marine environments:: structural variables and corrosion potential vinculation</t>
  </si>
  <si>
    <t>REVISTA DE METALURGIA</t>
  </si>
  <si>
    <t>atmospheric corrosion; Mossbauer spectroscopy; corrosion potential; atmospheric corrosion; corrosion products; clusters analysis</t>
  </si>
  <si>
    <t>CARBON-STEEL; ATMOSPHERE</t>
  </si>
  <si>
    <t>Structural and electrochemical analysis of rust formed from low alloy steel was performed. The samples, generated in the framework of MICAT project, were exposed in two marine environments: subtropical and sub polar Antarctic. The results suggested the formation of oxides and oxihidroxides of low crystallinity and poor protective properties. The evolution of the results is analyzed tacking to account the different environments. The electrochemical activity and phases concentration of corrosion products are analyzed by cluster diagrams with the objective of adjusting qualitative models.</t>
  </si>
  <si>
    <t>UDELAR, Fac Ingn, Inst Ingn Quim, Montevideo, Uruguay; UDELAR, Fac Ingn, Inst Fis, Montevideo, Uruguay</t>
  </si>
  <si>
    <t>Universidad de la Republica, Uruguay; Universidad de la Republica, Uruguay</t>
  </si>
  <si>
    <t>Ohanian, M (corresponding author), UDELAR, Fac Ingn, Inst Ingn Quim, J Herrera &amp; Reissig 565,CP 11200, Montevideo, Uruguay.</t>
  </si>
  <si>
    <t>Caraballo, Ramon/AGZ-0345-2022; Martinez Luaces, Victor/GWZ-1143-2022; Martinez Luaces, Victor/IQW-4905-2023</t>
  </si>
  <si>
    <t>Caraballo, Ramon/0000-0001-6946-1591; Martinez-Luaces, Victor/0000-0003-2556-7196</t>
  </si>
  <si>
    <t>CENIM</t>
  </si>
  <si>
    <t>MADRID</t>
  </si>
  <si>
    <t>AVDA. GREGORIO DEL AMO, 8, 28040 MADRID, SPAIN</t>
  </si>
  <si>
    <t>0034-8570</t>
  </si>
  <si>
    <t>REV METAL MADRID</t>
  </si>
  <si>
    <t>Rev. Metal.</t>
  </si>
  <si>
    <t>Metallurgy &amp; Metallurgical Engineering</t>
  </si>
  <si>
    <t>956WA</t>
  </si>
  <si>
    <t>WOS:000231329500004</t>
  </si>
  <si>
    <t>Stoker, PH; Bijker, J</t>
  </si>
  <si>
    <t>Auroral optical emissions related to imaging riometer observations</t>
  </si>
  <si>
    <t>SOUTH AFRICAN JOURNAL OF SCIENCE</t>
  </si>
  <si>
    <t>MAGNETOSPHERIC SUBSTORMS; PARTICLE</t>
  </si>
  <si>
    <t>Observations during a substorm expansive phase at the South African Antarctic base at SANAE IV (L = 4.1) showed that the 630.0-nm auroral spectral line closely followed the variations in the auroral white light (mainly green and blue spectral lines), and preceded the white light variations from about 0 to 5 s during the time of observation of the pre-midnight substorm on 19 July 2003. Absorptions in cosmic radio noise appeared to vary in a way both related and unrelated to optical emissions. Associated variations were delayed relative to optical variations from 2 to 12 s. These temporal differences in variations support the idea of a local dispersionless acceleration region associated with the expansion phase of the substorm. The temporal differences suggest an increasing electric field as an acceleration mechanism. The unrelated absorptions in cosmic radio noise had then to originate from a different acceleration region.</t>
  </si>
  <si>
    <t>NW Univ, Unit Space Phys, ZA-2520 Potchefstroom, South Africa</t>
  </si>
  <si>
    <t>North West University - South Africa</t>
  </si>
  <si>
    <t>Stoker, PH (corresponding author), NW Univ, Unit Space Phys, Private Bag X6001, ZA-2520 Potchefstroom, South Africa.</t>
  </si>
  <si>
    <t>fskphs@puknet.puk.ac.za</t>
  </si>
  <si>
    <t>ACAD SCIENCE SOUTH AFRICA A S S AF</t>
  </si>
  <si>
    <t>LYNWOOD RIDGE</t>
  </si>
  <si>
    <t>PO BOX 72135, LYNWOOD RIDGE 0040, SOUTH AFRICA</t>
  </si>
  <si>
    <t>0038-2353</t>
  </si>
  <si>
    <t>1996-7489</t>
  </si>
  <si>
    <t>S AFR J SCI</t>
  </si>
  <si>
    <t>S. Afr. J. Sci.</t>
  </si>
  <si>
    <t>5-6</t>
  </si>
  <si>
    <t>976OU</t>
  </si>
  <si>
    <t>WOS:000232743800024</t>
  </si>
  <si>
    <t>Sugden, DE; Balco, G; Cowdery, SG; Stone, JO; Sass, LC</t>
  </si>
  <si>
    <t>Selective glacial erosion and weathering zones in the coastal mountains of Marie Byrd Land, Antarctica</t>
  </si>
  <si>
    <t>GEOMORPHOLOGY</t>
  </si>
  <si>
    <t>west Antarctic ice sheet; Marie Byrd Land; glacial geomorphology; glaciology; cosmogenic isotopes; weathering zones</t>
  </si>
  <si>
    <t>LAST ICE-SHEET; BAFFIN-ISLAND; SCOTLAND; TORS; LANDSCAPE; MAXIMUM; CANADA</t>
  </si>
  <si>
    <t>In the coastal mountains of Marie Byrd Land, Antarctica, there is a juxtaposition of ice moulded landforms at lower altitudes and upstanding summits with weathered surfaces bearing tors. This paper uses geomorphological mapping and exposure dating to test two hypotheses commonly used to explain such a landscape contrast: either the pattern reflects contrasts in glacial erosion related to the basal thermal regime beneath a former ice sheet or it represents a periglacial trimline marking the upper limit of ice cover during the Last Glacial Maximum (LGM). Cosmogenic nuclide measurements on erratics, show that the mountains were covered by ice on several occasions, most recently during the LGM. Similar measurements on bedrock show that fragile landforms on weathered surfaces survived many glaciations. Nuclide concentrations in bedrock indicate both that subglacial erosion is insignificant and that ice-free periods of periglacial weathering are longer at higher elevations. We conclude that the pattern of landscape modification reflects both topographically controlled contrasts in the basal thermal regime of overriding ice and the longer exposure to periglacial conditions at higher elevations. In addition, the combination of nuclide data and the wider pattern of striations shows that the LGM ice cover was thinner than predicted by ice sheet models assuming equilibrium conditions, that ice sheet thinning has occurred from 10,400 years ago to the present, and that regional flow by overriding ice has been replaced by radial ice flow from local glaciers centred on individual mountain massifs. (c) 2004 Elsevier B.V. All rights reserved.</t>
  </si>
  <si>
    <t>Univ Edinburgh, Inst Geog, Sch Geosci, Edinburgh EH8 9XP, Midlothian, Scotland; Dept Earth &amp; Space Sci, Seattle, WA 98195 USA; Univ Washington, Quaternary Res Ctr, Seattle, WA 98195 USA; Colorado Coll, Dept Geol, Colorado Springs, CO 80903 USA</t>
  </si>
  <si>
    <t>University of Edinburgh; University of Washington; University of Washington Seattle; Colorado College</t>
  </si>
  <si>
    <t>Univ Edinburgh, Inst Geog, Sch Geosci, Drummond St, Edinburgh EH8 9XP, Midlothian, Scotland.</t>
  </si>
  <si>
    <t>David.Sugden@ed.ac.uk</t>
  </si>
  <si>
    <t>Cowdery, Seth/0000-0002-7068-6998; Sass, Louis/0000-0003-4677-029X</t>
  </si>
  <si>
    <t>0169-555X</t>
  </si>
  <si>
    <t>1872-695X</t>
  </si>
  <si>
    <t>Geomorphology</t>
  </si>
  <si>
    <t>APR 30</t>
  </si>
  <si>
    <t>10.1016/j.geomorph.2004.10.007</t>
  </si>
  <si>
    <t>929VT</t>
  </si>
  <si>
    <t>WOS:000229375400004</t>
  </si>
  <si>
    <t>Accaino, F; Böhm, G; Brancolini, G</t>
  </si>
  <si>
    <t>Analysis of Antarctic glaciations by seismic reflection and refraction tomography</t>
  </si>
  <si>
    <t>West Antarctic Ice Sheet; seismic data; tomographic inversion; high seismic velocity; over-compaction</t>
  </si>
  <si>
    <t>ROSS SEA REGION; SEDIMENTARY; MARGIN; RECORD</t>
  </si>
  <si>
    <t>The Eastern Basin in the Ross Sea (Antarctica) contains a sedimentary sequence that is a direct record of advance and retreat of the West Antarctic Ice Sheet. We analyzed a sedimentary section ranging from the upper Miocene to present. The joint tomographic inversion of refracted and reflected arrivals of pre-stack multi-channel seismic data revealed in this area the presence of layers with anomalous high velocity. These anomalies are correlated with sediments that were eroded and compacted by the load of the West Antarctic Ice Sheet during its expansion on the continental shelf. The deepest and stronger velocity anomaly correspond to a basin-wide seismic unconformity (RSU2, Late Miocene-Early Pliocene in age). This anomaly is interpreted as evidence of a major advance of the West Antarctic ice sheet on the continental shelf that resulted in high velocity and low porosity in sediment immediately above the unconformity. (c) 2005 Elsevier B.V. All rights reserved.</t>
  </si>
  <si>
    <t>Ist Nazl Oceanog &amp; Geofis Sperimentale, OGS, Trieste, Italy</t>
  </si>
  <si>
    <t>Accaino, F (corresponding author), Ist Nazl Oceanog &amp; Geofis Sperimentale, OGS, Trieste, Italy.</t>
  </si>
  <si>
    <t>faccaino@ogs.trieste.it; gbohm@ogs.trieste.it; gbrancolini@ogs.trieste.it</t>
  </si>
  <si>
    <t>Accaino, Flavio/0000-0003-3512-2457; Bohm, Gualtiero/0000-0002-1234-392X</t>
  </si>
  <si>
    <t>10.1016/j.margeo.2005.02.008</t>
  </si>
  <si>
    <t>919CB</t>
  </si>
  <si>
    <t>WOS:000228594800004</t>
  </si>
  <si>
    <t>Inglese, S; Granucci, G; Laino, T; Persico, M</t>
  </si>
  <si>
    <t>Photodissociation dynamics of chlorine peroxide adsorbed on ice</t>
  </si>
  <si>
    <t>JOURNAL OF PHYSICAL CHEMISTRY B</t>
  </si>
  <si>
    <t>ABSORPTION CROSS-SECTIONS; ULTRAVIOLET-ABSORPTION; CLO DIMER; AB-INITIO; 250 NM; SPECTRA; PARAMETERS; PHOTOLYSIS; MOLECULES; ORBITALS</t>
  </si>
  <si>
    <t>Chlorine peroxide plays an important role in the chlorine-ozone chemistry in the antarctic stratosphere. Adsorption by ice crystals may alter its photochemistry in different ways. We have simulated the photodissociation of a ClOOCl molecule adsorbed on ice by means of a semiclassical representation of the excited state dynamics. Electronic energies and wave functions of ClOOCl are computed by an ad hoc reparametrized semiempirical method, and the interaction with ice is taken into account by a QM/MM strategy. The reaction mechanism is similar to what was previously found for the isolated molecule: sequential or almost simultaneous breaking of both Cl-O bonds leads to the 2Cl + O-2 reaction products in most cases. The Cl atoms remain temporarily adsorbed on the ice surface, whereas O-2 is ejected. The main effect for the overall chlorine chemistry is probably an increase of the photodissociation rates at long wavelengths, due to the change of adsorption cross sections induced by the interaction with ice.</t>
  </si>
  <si>
    <t>Univ Pisa, Dipartimento Chim &amp; Chim Ind, I-56126 Pisa, Italy</t>
  </si>
  <si>
    <t>University of Pisa</t>
  </si>
  <si>
    <t>Granucci, G (corresponding author), Univ Pisa, Dipartimento Chim &amp; Chim Ind, Via Risorgimento 35, I-56126 Pisa, Italy.</t>
  </si>
  <si>
    <t>Persico, Maurizio/J-1602-2014; Granucci, Giovanni/N-2644-2013</t>
  </si>
  <si>
    <t>Persico, Maurizio/0000-0001-6861-9289; Granucci, Giovanni/0000-0002-4753-6318</t>
  </si>
  <si>
    <t>1520-6106</t>
  </si>
  <si>
    <t>J PHYS CHEM B</t>
  </si>
  <si>
    <t>J. Phys. Chem. B</t>
  </si>
  <si>
    <t>APR 28</t>
  </si>
  <si>
    <t>10.1021/jp044368k</t>
  </si>
  <si>
    <t>Chemistry, Physical</t>
  </si>
  <si>
    <t>Chemistry</t>
  </si>
  <si>
    <t>919FM</t>
  </si>
  <si>
    <t>WOS:000228603700051</t>
  </si>
  <si>
    <t>Phillips, GJ; Simpson, WR</t>
  </si>
  <si>
    <t>Verification of snowpack radiation transfer models using actinometry</t>
  </si>
  <si>
    <t>AUTHENTIC CLOUD WATERS; ABSORPTION-COEFFICIENTS; HYDROGEN-PEROXIDE; ANTARCTIC SNOW; ALERT 2000; ICE; NM; NITROBENZALDEHYDE; PHOTOLYSIS; ATMOSPHERE</t>
  </si>
  <si>
    <t>[1] Actinometric measurements of photolysis rate coefficients within artificial snow have been used to test calculations of these coefficients by two radiative transfer models. The models used were based upon the delta-Eddington method or the discrete ordinate method, as implemented in the tropospheric ultraviolet and visible snow model, and were constrained by irradiance measurements and light attenuation profiles within the artificial snow. Actinometric measurements of the photolysis rate coefficient were made by observing the unimolecular conversion of 2-nitrobenzaldehyde (NBA) to its photoproduct under ultraviolet irradiation. A control experiment using liquid solutions of NBA determined that the quantum yield for conversion was phi = 0.41 +/- 0.04 (+/- 2 sigma). Measured photolysis rate coefficients in the artificial snow are enhanced in the near-surface layer, as predicted in the model calculations. The two models yielded essentially identical results for the depth-integrated photolysis rate coefficient of NBA, and their results quantitatively agreed with the actinometric measurements within the experimental precision of the measurement ( +/- 10%, +/- 2 sigma). The study shows that these models accurately determine snowpack actinic fluxes. To calculate in-snow photolysis rates for a molecule of interest, one must also have knowledge of the absorption spectrum and quantum yield for the specific photoprocess in addition to the actinic flux. Having demonstrated that the actinic flux is well determined by these models, we find that the major remaining uncertainty in prediction of snowpack photochemical rates is the measurement of these molecular photophysical properties.</t>
  </si>
  <si>
    <t>Univ Alaska Fairbanks, Inst Geophys, Fairbanks, AK 99775 USA; Univ Alaska Fairbanks, Dept Chem, Fairbanks, AK 99775 USA</t>
  </si>
  <si>
    <t>University of Alaska System; University of Alaska Fairbanks; University of Alaska System; University of Alaska Fairbanks</t>
  </si>
  <si>
    <t>Univ Alaska Fairbanks, Inst Geophys, Fairbanks, AK 99775 USA.</t>
  </si>
  <si>
    <t>ffwrs@uaf.edu</t>
  </si>
  <si>
    <t>Phillips, Gavin James/A-6570-2009; Simpson, William/I-2859-2014</t>
  </si>
  <si>
    <t>Phillips, Gavin James/0000-0003-4443-0822; Simpson, William/0000-0002-8596-7290</t>
  </si>
  <si>
    <t>APR 26</t>
  </si>
  <si>
    <t>D8</t>
  </si>
  <si>
    <t>D08306</t>
  </si>
  <si>
    <t>10.1029/2004JD005552</t>
  </si>
  <si>
    <t>923GI</t>
  </si>
  <si>
    <t>WOS:000228897500010</t>
  </si>
  <si>
    <t>Cook, AJ; Fox, AJ; Vaughan, DG; Ferrigno, JG</t>
  </si>
  <si>
    <t>Retreating glacier fronts on the Antarctic Peninsula over the past half-century</t>
  </si>
  <si>
    <t>LARSEN ICE SHELF</t>
  </si>
  <si>
    <t>The continued retreat of ice shelves on the Antarctic Peninsula has been widely attributed to recent atmospheric warming, but there is little published work describing changes in glacier margin positions. We present trends in 244 marine glacier fronts on the peninsula and associated islands over the past 61 years. Of these glaciers, 87% have retreated and a clear boundary between mean advance and retreat has migrated progressively southward. The pattern is broadly compatible with retreat driven by atmospheric warming, but the rapidity of the migration suggests that this may not be the sole driver of glacier retreat in this region.</t>
  </si>
  <si>
    <t>British Antarctic Survey, NERC, Cambridge CB3 0ET, England; US Geol Survey, Natl Ctr 926A, Reston, VA 20192 USA</t>
  </si>
  <si>
    <t>UK Research &amp; Innovation (UKRI); Natural Environment Research Council (NERC); NERC British Antarctic Survey; United States Department of the Interior; United States Geological Survey</t>
  </si>
  <si>
    <t>acook@bas.ac.uk</t>
  </si>
  <si>
    <t>APR 22</t>
  </si>
  <si>
    <t>10.1126/science.1104235</t>
  </si>
  <si>
    <t>922BK</t>
  </si>
  <si>
    <t>WOS:000228810500049</t>
  </si>
  <si>
    <t>Chaigneau, A; Pizarro, O</t>
  </si>
  <si>
    <t>Surface circulation and fronts of the South Pacific Ocean, east of 120°W -: art. no. L08605</t>
  </si>
  <si>
    <t>WATER</t>
  </si>
  <si>
    <t>The South Pacific surface circulation east of 120 degrees W is studied, using satellite tracked drifters from 1979-2004. The major currents of this region are described such as the Antarctic Circumpolar, the South Pacific, the Chile-Peru and the Cape Horn Currents. We suggest the presence of a branch, exiting from the ACC between 100-120 degrees W, and transporting subantarctic surface water toward lower latitudes. We also show the existence of an anticyclonic recirculation cell north of 35 degrees S. Finally, based on hydrographic sections, we show that in the eastern South Pacific the core of the Subtropical front corresponds to the 14 degrees C isotherm at 150 m depths and to the 2.7 m of dynamic height relative to 3000 m. The Subantarctic front is located by maximum temperature gradients in the range 3-8 degrees C at 100-400 m depth.</t>
  </si>
  <si>
    <t>Univ Concepcion, Barrio Univ Concepcion, Ctr Invest Oceanog Pacifico SurOriental, PROFC, Concepcion, Chile</t>
  </si>
  <si>
    <t>Universidad de Concepcion</t>
  </si>
  <si>
    <t>Univ Concepcion, Barrio Univ Concepcion, Ctr Invest Oceanog Pacifico SurOriental, PROFC, Concepcion, Chile.</t>
  </si>
  <si>
    <t>chaigneau@profc.udec.cl</t>
  </si>
  <si>
    <t>Chaigneau, Alexis/E-4324-2010</t>
  </si>
  <si>
    <t>APR 21</t>
  </si>
  <si>
    <t>L08605</t>
  </si>
  <si>
    <t>10.1029/2004GL022070</t>
  </si>
  <si>
    <t>922PX</t>
  </si>
  <si>
    <t>WOS:000228851300002</t>
  </si>
  <si>
    <t>Jarvis, MJ</t>
  </si>
  <si>
    <t>Observed tidal variation in the lower thermosphere through the 20th century and the possible implication of ozone depletion</t>
  </si>
  <si>
    <t>RESOLUTION DOPPLER IMAGER; GEOMAGNETIC SQ FIELD; LONG-TERM TRENDS; WIND-FIELD; IONOSPHERE; SIMULATIONS; DEPENDENCE; TIDES</t>
  </si>
  <si>
    <t>Climatological change in the tides in the lower thermosphere has been estimated at five different latitudes using wavelet analysis of geomagnetic data series extending back to the beginning of the 20th century. The tidal signature present in the geomagnetic data is a consequence of atmospheric tides in the dynamo region between approximately 120 and 140 km altitude. The diurnal and semidiurnal spectral power have been accumulated through each year. The effect of solar and geomagnetic drivers has been minimized through use of proxy indices (aa index, sunspot number, F10.7 solar flux) to leave a residual which shows similar to 20% reduction in both diurnal and semidiurnal amplitudes at midlatitudes since the middle of the century. This midlatitude reduction is qualitatively similar to the decrease observed using wind data from 1964 onward at approximately 90 km altitude over a range of latitudes by Bremer et al. (1997), but quantitatively it is about half the magnitude. At high latitude a similar decrease would be a statistically insignificant measurement because the estimation becomes sensitive to errors in the aa index. At low latitude there is no significant change throughout the century. The observed decrease at midlatitudes appears consistent with that predicted by Ross and Walterscheid (1991) for the dynamo region current as a consequence of global ozone depletion. Reduced tidal heating of the stratosphere during the latter half of the 20th century and the consequent reduction in tidal power propagating up to the lower thermosphere is implicated.</t>
  </si>
  <si>
    <t>British Antarctic Survey, Cambridge CB3 0ET, England</t>
  </si>
  <si>
    <t>m.jarvis@bas.ac.uk</t>
  </si>
  <si>
    <t>APR 16</t>
  </si>
  <si>
    <t>A4</t>
  </si>
  <si>
    <t>A04303</t>
  </si>
  <si>
    <t>10.1029/2004JA010921</t>
  </si>
  <si>
    <t>917RC</t>
  </si>
  <si>
    <t>WOS:000228481600004</t>
  </si>
  <si>
    <t>Cardinal, D; Alleman, LY; Dehairs, F; Savoye, N; Trull, TW; André, L</t>
  </si>
  <si>
    <t>Relevance of silicon isotopes to Si-nutrient utilization and Si-source assessment in Antarctic -: art. no. GB2007</t>
  </si>
  <si>
    <t>GLOBAL BIOGEOCHEMICAL CYCLES</t>
  </si>
  <si>
    <t>POLAR FRONTAL ZONES; SOUTHERN-OCEAN; AUSTRALIAN SECTOR; BIOGENIC SILICA; MIXED-LAYER; N-UPTAKE; SEASONAL EVOLUTION; IRON AVAILABILITY; MASS SPECTROMETRY; BIOLOGICAL PUMP</t>
  </si>
  <si>
    <t>We analyzed delta(29) Si of dissolved silicate for eight water column profiles across the Southern Ocean ( south of Australia in spring 2001) from the Seasonal Ice Zone (SIZ) north to the Subantarctic Zone (SAZ), including the first isotopic compositions measured for Si-depleted seawaters. All profiles display mixed layer enrichments in heavy Si isotopes relative to deep water in accordance with preferential uptake of the light isotope by diatoms. As silicate levels decrease from the SIZ northward across the Polar Front Zone (PFZ) to the SAZ, surface and mesopelagic delta(29) Si signatures generally become progressively heavier, but the most Si-depleted SAZ waters do not exhibit delta(29) Si values heavier than in the PFZ. This intricacy appears to derive from variations in the vertical and horizontal supply of silicate to surface waters, and by applying a steady state open system model, we estimate a fractionation factor, (29)epsilon, between diatoms and seawater of -0.45 +/- 0.17%, independently of zones and phytoplankton community. Though encouraging, these results are related to latitudinal changes in mesopelagic delta(29) Si values, complexity in surface silicate - delta(29) Si correlations, and differences from previous studies, which underline the need for caution in the use of silicon isotopes in paleoceanographic studies until systematic efforts have been undertaken to better understand modern variations.</t>
  </si>
  <si>
    <t>Musee Royal Afr Cent, Dept Geol &amp; Mineral, B-3080 Tervuren, Belgium; Free Univ Brussels, Dept Analyt &amp; Environm Chem, B-1050 Brussels, Belgium; Univ Tasmania, CSIRO Marine Res, Antarctic Climate &amp; Ecosyst Cooperat Res Ctr, Hobart, Tas 7001, Australia</t>
  </si>
  <si>
    <t>Royal Museum for Central Africa; Universite Libre de Bruxelles; Commonwealth Scientific &amp; Industrial Research Organisation (CSIRO); Antarctic Climate &amp; Ecosystems Cooperative Research Centre (ACE CRC); University of Tasmania</t>
  </si>
  <si>
    <t>Musee Royal Afr Cent, Dept Geol &amp; Mineral, Leuvensesteenweg 13, B-3080 Tervuren, Belgium.</t>
  </si>
  <si>
    <t>damien.cardinal@africamuseum.be; fdehairs@vub.ac.be; tom.trull@utas.edu.au</t>
  </si>
  <si>
    <t>Cardinal, Damien/AAM-6215-2021; Alleman, Laurent/T-2038-2019; Trull, Tom W/B-7028-2014</t>
  </si>
  <si>
    <t>Cardinal, Damien/0000-0003-1238-8412; Alleman, Laurent/0000-0003-4165-1742; Andre, Luc/0000-0002-7286-0072</t>
  </si>
  <si>
    <t>0886-6236</t>
  </si>
  <si>
    <t>1944-9224</t>
  </si>
  <si>
    <t>GLOBAL BIOGEOCHEM CY</t>
  </si>
  <si>
    <t>Glob. Biogeochem. Cycle</t>
  </si>
  <si>
    <t>APR 15</t>
  </si>
  <si>
    <t>GB2007</t>
  </si>
  <si>
    <t>10.1029/2004GB002364</t>
  </si>
  <si>
    <t>Environmental Sciences; Geosciences, Multidisciplinary; Meteorology &amp; Atmospheric Sciences</t>
  </si>
  <si>
    <t>Environmental Sciences &amp; Ecology; Geology; Meteorology &amp; Atmospheric Sciences</t>
  </si>
  <si>
    <t>917QT</t>
  </si>
  <si>
    <t>WOS:000228480300002</t>
  </si>
  <si>
    <t>Monaghan, AJ; Bromwich, DH; Powers, JG; Manning, KW</t>
  </si>
  <si>
    <t>The climate of the McMurdo, Antarctica, region as represented by one year of forecasts from the Antarctic Mesoscale Prediction System</t>
  </si>
  <si>
    <t>ROSS ICE SHELF; HIGH SOUTHERN LATITUDES; POLAR MM5 SIMULATIONS; ATMOSPHERIC CIRCULATION; KATABATIC WINDS; SEA; ISLAND; CYCLOGENESIS; GREENLAND; WINTER</t>
  </si>
  <si>
    <t>In response to the need for improved weather prediction capabilities in support of file U.S. Antarctic Program's Antarctic field operations, the Antarctic Mesoscale Prediction System (AMPS) was implemented in October 2000. AMPS employs a limited-area model. the Polar fifth-generation Pennsylvania State University-National Center for Atmospheric Research (PSU-NCAR) Mesoscale Model (MM5). optimized for use over ice sheets. Twice-daily forecasts from the 3.3-km resolution domain of AMPS are joined together to study the climate of the McMurdo region from June 2002 to May 2003. Annual and seasonal distributions of wind direction and speed, 2-m temperature. mean sea level pressure. Precipitation, and cloud fraction are presented. This is the first time a model adapted for polar use and with relatively high resolution is used to study the climate of the rugged McMurdo region, allowing several important climatological features to be investigated with unprecedented detail. Orographic effects exert an important influence on the near-surface winds. Time-mean vortices Occur in the Ice of Ross Island, perhaps a factor in the high incidence of mesoscale cyclogenesis noted in this area. The near-surface temperature gradient is oriented northwest to southeast with the warmest temperatures in the northwest near McMurdo and the gradient being steepest in winter. The first-ever detailed precipitation maps of the region are presented. Orographic precipitation maxima Occur Oil the southerly slopes of Ross Island and in the mountains to the southwest. The source of the moisture is primarily from the large synoptic systems passing to the northeast and cast of Ross Island. A precipitation-shadow effect appears to be in important influence on the low precipitation amounts observed in the McMurdo Dry Valleys. Total cloud fraction primarily depends on the amount of open water in the Ross Sea: the cloudiest region is to the northeast of Ross Island in the vicinity of the Ross Sea polynya.</t>
  </si>
  <si>
    <t>Ohio State Univ, Byrd Polar Res Ctr, Polar Meteorol Grp, Columbus, OH 43210 USA; Ohio State Univ, Dept Geog, Atmospher Sci Program, Columbus, OH 43210 USA; Natl Ctr Atmospher Res, Mesocale &amp; Microscale Meteorol Div, Boulder, CO 80307 USA</t>
  </si>
  <si>
    <t>University System of Ohio; Ohio State University; University System of Ohio; Ohio State University; National Center Atmospheric Research (NCAR) - USA</t>
  </si>
  <si>
    <t>Monaghan, AJ (corresponding author), Ohio State Univ, Byrd Polar Res Ctr, Polar Meteorol Grp, 1090 Carmack Rd, Columbus, OH 43210 USA.</t>
  </si>
  <si>
    <t>monaghan@polarmet1.mps.ohio.state.edu</t>
  </si>
  <si>
    <t>Bromwich, David H/C-9225-2016</t>
  </si>
  <si>
    <t>Monaghan, Andrew/0000-0002-8170-2359</t>
  </si>
  <si>
    <t>10.1175/JCLI3336.1</t>
  </si>
  <si>
    <t>924JM</t>
  </si>
  <si>
    <t>WOS:000228975100004</t>
  </si>
  <si>
    <t>Levshin, AL; Barmin, MP; Ritzwoller, MH; Trampert, J</t>
  </si>
  <si>
    <t>Minor-arc and major-arc global surface wave diffraction tomography</t>
  </si>
  <si>
    <t>PHYSICS OF THE EARTH AND PLANETARY INTERIORS</t>
  </si>
  <si>
    <t>surface waves; tomography; phase velocity; diffraction</t>
  </si>
  <si>
    <t>PHASE-VELOCITY MAPS; MANTLE; SCATTERING; MULTIPLE; SHEAR; CRUST; MODEL</t>
  </si>
  <si>
    <t>We discuss extending global surface wave diffraction tomography to accommodate major-arc dispersion measurements. The introduction of major-arc surface wave dispersion measurements improves path density and resolution in regions poorly covered by minor-arc measurements alone, as occurs in much of the Southern Hemisphere. The addition of major-arc measurements to the inversion for dispersion maps does not appreciably degrade the fit to the minor-arc measurements but significantly improves the fit to the major-arc measurements. For these reasons, we conclude that the addition of major-arc measurements is worthwhile in the interim until the broad-band network of ocean bottom or Antarctic stations is improved in the future. (c) 2004 Elsevier B.V. All rights reserved.</t>
  </si>
  <si>
    <t>Univ Colorado, Ctr Imaging Earths Interior, Dept Phys, Boulder, CO 80309 USA; Univ Utrecht, Dept Geophys, NL-3508 TA Utrecht, Netherlands</t>
  </si>
  <si>
    <t>University of Colorado System; University of Colorado Boulder; Utrecht University</t>
  </si>
  <si>
    <t>Univ Colorado, Ctr Imaging Earths Interior, Dept Phys, Campus Box 390, Boulder, CO 80309 USA.</t>
  </si>
  <si>
    <t>levshin@ciei.colorado.edu</t>
  </si>
  <si>
    <t>Trampert, Jeannot/N-3240-2019</t>
  </si>
  <si>
    <t>Trampert, Jeannot/0000-0002-5868-9491</t>
  </si>
  <si>
    <t>0031-9201</t>
  </si>
  <si>
    <t>1872-7395</t>
  </si>
  <si>
    <t>PHYS EARTH PLANET IN</t>
  </si>
  <si>
    <t>Phys. Earth Planet. Inter.</t>
  </si>
  <si>
    <t>10.1016/j.pepi.2004.10.006</t>
  </si>
  <si>
    <t>913HS</t>
  </si>
  <si>
    <t>WOS:000228142800002</t>
  </si>
  <si>
    <t>Schwarz, J; Rendle-Bühring, R</t>
  </si>
  <si>
    <t>Controls on modern carbonate preservation in the southern Florida Straits</t>
  </si>
  <si>
    <t>SEDIMENTARY GEOLOGY</t>
  </si>
  <si>
    <t>Florida Straits; supralysoclinal dissolution; pteropods; Antarctic Intermediate Water (AAIW)</t>
  </si>
  <si>
    <t>IN-SITU MEASUREMENTS; BIOLOGICALLY MEDIATED DISSOLUTION; DEEP-SEA FLOOR; CALCIUM-CARBONATE; CACO3 DISSOLUTION; NORTHWEST PROVIDENCE; POTENTIAL VORTICITY; ATLANTIC-OCEAN; INDIAN-OCEAN; LOOP CURRENT</t>
  </si>
  <si>
    <t>The water masses in the Florida Straits and Bahamas region are important sources for the Northern Atlantic surface ocean circulation. In this study, we analyse carbonate preservation in surface sediments located above the chemical lysocline in the Florida Straits and Bahamas region and discuss possible reasons for supralysoclinal dissolution. Calcite dissolution proxies such as the variation of the foraminiferal assemblage, Fragmentation Index, Benthic Foraminifera Index, and Resistance Index displayed a good preservation in both areas. The pteropod species Limacina inflata showed very good preservation in sediments of inter-platform channels from the Great Bahama Bank (Providence Channel, Exuma Sound) above the aragonite lysocline. Supralysoclinal aragonite dissolution, however, was observed at two water depth levels (800-1000 m and below 1500 m) in the Florida Straits. Our observations suggest that the supralysoclinal dissolution in the Florida Straits is due to the degradation of organic material. The presence of Antarctic Intermediate Water (AAIW) may be a contributing factor for the significant aragonite dissolution in 800-1000 m. The comparison of modern preservation patterns of the surface sediments with hydrographical measurements shows that the L. inflata Dissolution Index (LDX) might be an adequate proxy to reconstruct paleo-water mass conditions in an area which is highly saturated with respect to calcium carbonate. (c) 2005 Published by Elsevier B.V.</t>
  </si>
  <si>
    <t>Univ Bremen, DFG Res Ctr Ocean Margins, D-28334 Bremen, Germany</t>
  </si>
  <si>
    <t>University of Bremen; German Research Foundation (DFG)</t>
  </si>
  <si>
    <t>Univ Bremen, DFG Res Ctr Ocean Margins, POB 330440, D-28334 Bremen, Germany.</t>
  </si>
  <si>
    <t>johanna.schwarz@uni-bremen.de</t>
  </si>
  <si>
    <t>0037-0738</t>
  </si>
  <si>
    <t>1879-0968</t>
  </si>
  <si>
    <t>SEDIMENT GEOL</t>
  </si>
  <si>
    <t>Sediment. Geol.</t>
  </si>
  <si>
    <t>10.1016/j.sedgeo.2004.12.024</t>
  </si>
  <si>
    <t>920ZR</t>
  </si>
  <si>
    <t>WOS:000228734500012</t>
  </si>
  <si>
    <t>Immenhauser, A</t>
  </si>
  <si>
    <t>High-rate sea-level change during the Mesozoic: New approaches to an old problem</t>
  </si>
  <si>
    <t>Mesozoic; sea level; stratigraphic correlation; bathymetry; tectonism; glacio-eustasy; eutasty; regional tectonism; ice volume; biostratigraphy</t>
  </si>
  <si>
    <t>SEQUENCE STRATIGRAPHY; TECTONIC MECHANISM; GLOBAL CORRELATION; TIME-SCALE; PLATFORM; ICE; FLUCTUATIONS; AMPLITUDES; HISTORY; EUSTASY</t>
  </si>
  <si>
    <t>It is generally assumed that the effects of tectonism, sediment accumulation and compaction, and eustasy on accommodation change cannot be untangled on a regional scale. Hence, most reconstructions of past eustatic change have focused on global correlations. Here, this approach is questioned. In the time domain of few My and less, global cycle correlation is often unreliable and the effects of isostasy on sea level show strong provincial variations. In contrast, on a regional scale, cycle correlation is more precise and regional tectonism has predictable limitations. These considerations form the base for an assessment of the poorly understood causes of high-rate sea-level change in the Mesozoic. Three well-documented, regional, semi-quantitative sea-level curves are chosen here for reference (Jurassic of Britain, Cretaceous of Russia, Albian of Oman). The absolute numbers of amplitudes are open to question, but the order of magnitude (rates of several meters to tens of meters per My) is a robust property of all three curves even when considering large error bars. Variable mechanisms that cause these regressive-transgressive cycles are considered but rejected with exception of the controversial issue of glacio-eustasy or unknown mechanisms. Therefore, orbital forcing of glacio-eustasy is assessed. Freezing-melting cycles of higher-altitude ice shields can explain high-rate sea-level change with moderate amplitudes but conclusive evidence is buried beneath 3 km of East Antarctic ice. Thus, although several ambiguities of 'global' sea-level correlation are avoided by the regional approach, the causes of high-rate Mesozoic sea-level change remain poorly understood. (c) 2005 Elsevier B.V. All rights reserved.</t>
  </si>
  <si>
    <t>Free Univ Amsterdam, Fac Earth &amp; Life Sci, NL-1081 HV Amsterdam, Netherlands</t>
  </si>
  <si>
    <t>Vrije Universiteit Amsterdam</t>
  </si>
  <si>
    <t>Free Univ Amsterdam, Fac Earth &amp; Life Sci, De Boelelaan 1085, NL-1081 HV Amsterdam, Netherlands.</t>
  </si>
  <si>
    <t>adrian.immenhauser@falw.vu.nl</t>
  </si>
  <si>
    <t>10.1016/j.sedgeo.2004.12.016</t>
  </si>
  <si>
    <t>WOS:000228734500018</t>
  </si>
  <si>
    <t>Aoki, S; Bindoff, NL; Church, JA</t>
  </si>
  <si>
    <t>Interdecadal water mass changes in the Southern Ocean between 30°E and 160°E -: art. no. L07607</t>
  </si>
  <si>
    <t>SOUTHWEST PACIFIC-OCEAN; CLIMATE-CHANGE; SEA; TEMPERATURE; TRENDS</t>
  </si>
  <si>
    <t>Interdecadal water mass changes in the Indian-Western Pacific sectors of the Southern Ocean were investigated using the Japanese Antarctic Research Expeditions and historical hydrographic observations from the 1950s to 1990s. Freshening and cooling occurred on the neutral density surfaces of 27.0 kg.m(-3) equatorward of Sub-Antarctic Front. Results for the area south of the Polar Front show warm and saline anomalies and oxygen decreases on the surfaces around 27.9 kg.m(-3), which correspond to the Upper Circumpolar Deep Water. These latter anomalies are most simply explained by the mixing of these shallow waters with warmer and fresher surface waters. Steric sea level has also increased with an average change of 1 mm.yr(-1) from the 1970s to 1990s. The changes are larger north of the Sub-Antarctic Front, implying a strengthening of the Antarctic Circumpolar Current. It appears that the observed changes are consistent with the results from coupled climate model results for a similar period.</t>
  </si>
  <si>
    <t>Hokkaido Univ, Inst Low Temp Sci, Kita Ku, Sapporo, Hokkaido 0600819, Japan; Univ Tasmania, Inst Antarctic &amp; So Ocean Studies, Hobart, Tas 7001, Australia; CSIRO Marine Res, Hobart, Tas 7001, Australia; Antarctic Climate &amp; Ecosyst Cooperat Res Ctr, Hobart, Tas, Australia</t>
  </si>
  <si>
    <t>Hokkaido University; University of Tasmania; Commonwealth Scientific &amp; Industrial Research Organisation (CSIRO); Antarctic Climate &amp; Ecosystems Cooperative Research Centre (ACE CRC)</t>
  </si>
  <si>
    <t>Hokkaido Univ, Inst Low Temp Sci, Kita Ku, N19W8, Sapporo, Hokkaido 0600819, Japan.</t>
  </si>
  <si>
    <t>shigeru@lowtem.hokudai.ac.jp</t>
  </si>
  <si>
    <t>Bindoff, Nathaniel Lee/C-8050-2011; Bindoff, Nathaniel Lee/IVV-0333-2023; Church, John A/A-1541-2012; Aoki, Shigeru/D-9105-2012</t>
  </si>
  <si>
    <t>Bindoff, Nathaniel Lee/0000-0001-5662-9519; Bindoff, Nathaniel Lee/0000-0001-5662-9519; Church, John A/0000-0002-7037-8194;</t>
  </si>
  <si>
    <t>APR 14</t>
  </si>
  <si>
    <t>L07607</t>
  </si>
  <si>
    <t>10.1029/2004GL022220</t>
  </si>
  <si>
    <t>917QQ</t>
  </si>
  <si>
    <t>Green Accepted, Green Published, Bronze</t>
  </si>
  <si>
    <t>WOS:000228480000002</t>
  </si>
  <si>
    <t>Rignot, E; Casassa, G; Gogineni, S; Kanagaratnam, P; Krabill, W; Pritchard, H; Rivera, A; Thomas, R; Turner, J; Vaughan, D</t>
  </si>
  <si>
    <t>Recent ice loss from the Fleming and other glaciers, Wordie Bay, West Antarctic Peninsula</t>
  </si>
  <si>
    <t>MASS-BALANCE; BREAK-UP; SHELVES; RETREAT; SURFACE; DISINTEGRATION; COLLAPSE</t>
  </si>
  <si>
    <t>Satellite radar interferometry data from 1995 to 2004, and airborne ice thickness data from 2002, reveal that the glaciers flowing into former Wordie Ice Shelf, West Antarctic Peninsula, discharge 6.8 +/- 0.3 km(3)/yr of ice, which is 84 +/- 30 percent larger than a snow accumulation of 3.7 +/- 0.8 km(3)/yr over a 6,300 km(2) drainage basin. Airborne and ICESat laser altimetry elevation data reveal glacier thinning at rates up to 2 m/yr. Fifty km from its ice front, Fleming Glacier flows 50 percent faster than it did in 1974 prior to the main collapse of Wordie Ice Shelf. We conclude that the glaciers accelerated following ice shelf removal, and have been thinning and losing mass to the ocean over the last decade. This and other observations suggest that the mass loss from the northern part of the Peninsula is not negligible at present.</t>
  </si>
  <si>
    <t>CALTECH, Jet Prop Lab, Pasadena, CA 91109 USA; Ctr Estudios Cient, Valdivia, Chile; Univ Kansas, Radar Syst &amp; Remote Sensing Lab, Lawrence, KS 66045 USA; NASA, Goddard Space Flight Ctr, Wallops Flight Facil, Lab Hydrospher Proc,EG&amp;G, Wallops Isl, VA 23337 USA; British Antarctic Survey, Cambridge CB3 0E7, England</t>
  </si>
  <si>
    <t>National Aeronautics &amp; Space Administration (NASA); NASA Jet Propulsion Laboratory (JPL); California Institute of Technology; University of Kansas; National Aeronautics &amp; Space Administration (NASA); NASA Goddard Space Flight Center; Wallops Flight Facility; UK Research &amp; Innovation (UKRI); Natural Environment Research Council (NERC); NERC British Antarctic Survey</t>
  </si>
  <si>
    <t>CALTECH, Jet Prop Lab, 4800 Oak Grove Dr,MS 200-321, Pasadena, CA 91109 USA.</t>
  </si>
  <si>
    <t>eric.rignot@jpl.nasa.gov; gcasassa@cecs.cl; gogineni@ittc.ku.edu; krabill@osb1.wff.nasa.gov; thomas@aim1.wff.nasa.gov; dgv@bas.ac.uk</t>
  </si>
  <si>
    <t>Casassa, Gino/AAX-6142-2020; Kanagaratnam, Pannirselvam/HMU-8754-2023; Pritchard, Hamish Daniel/AAU-4696-2021; Vaughan, David/C-8348-2011; Rignot, Eric/A-4560-2014</t>
  </si>
  <si>
    <t>Rignot, Eric/0000-0002-3366-0481; Vaughan, David/0000-0002-9065-0570; Rivera, Andres/0000-0002-2779-4192; Turner, John/0000-0002-6111-5122</t>
  </si>
  <si>
    <t>L07502</t>
  </si>
  <si>
    <t>10.1029/2004GL021947</t>
  </si>
  <si>
    <t>WOS:000228480000001</t>
  </si>
  <si>
    <t>Corti, G</t>
  </si>
  <si>
    <t>Dynamics of periodic instabilities during stretching of the continental lithosphere: View from centrifuge models and comparison with natural examples</t>
  </si>
  <si>
    <t>TECTONICS</t>
  </si>
  <si>
    <t>METAMORPHIC CORE COMPLEXES; ANTARCTIC RIFT SYSTEM; ROSS SEA; EXTENSIONAL TECTONICS; POSTRIFT EVOLUTION; BOUNCING PUTTIES; BASIN; DEFORMATION; RHEOLOGY; RANGE</t>
  </si>
  <si>
    <t>[1] Analogue models are used to investigate the development of periodic instabilities during a wide rifting mode of continental extension. The results of modeling support that unstable lithospheric extension is accompanied by development of regularly spaced structures at two characteristics wavelengths: a crustal (shorter) wavelength and mantle (longer) wavelength. Both wavelengths are dependent on the brittle/ductile decoupling (i.e., dominance of the brittle rheology of the upper crust over the ductile behavior), as an increase in the brittle layer thickness and a decrease in the extension velocity (decreasing the ductile resistance) lead to an increase in both crustal and mantle wavelengths. The characteristic wavelengths also increase with increasing the amount of total extension, whereas variations in the thickness of the ductile lower crust have minor effects on the spacing of structures. These results are similar to previous analytical models and match well the wavelength of structures in regions undergoing wide rifting, as the Basin and Range, the Aegean, the West Antarctic Rift System and examples from the extensional systems of the China- Mongolia regions.</t>
  </si>
  <si>
    <t>CNR, Ist Geosci &amp; Georisorse, Sezione Firenze, I-50127 Florence, Italy</t>
  </si>
  <si>
    <t>Consiglio Nazionale delle Ricerche (CNR); Istituto di Geoscienze e Georisorse (IGG-CNR)</t>
  </si>
  <si>
    <t>CNR, Ist Geosci &amp; Georisorse, Sezione Firenze, I-50127 Florence, Italy.</t>
  </si>
  <si>
    <t>cortigi@geo.unifi.it</t>
  </si>
  <si>
    <t>Corti, Giacomo/C-9517-2015</t>
  </si>
  <si>
    <t>Corti, Giacomo/0000-0001-7399-4438</t>
  </si>
  <si>
    <t>0278-7407</t>
  </si>
  <si>
    <t>1944-9194</t>
  </si>
  <si>
    <t>Tectonics</t>
  </si>
  <si>
    <t>TC2008</t>
  </si>
  <si>
    <t>10.1029/2004TC001739</t>
  </si>
  <si>
    <t>917RG</t>
  </si>
  <si>
    <t>WOS:000228482300002</t>
  </si>
  <si>
    <t>Glauert, SA; Horne, RB</t>
  </si>
  <si>
    <t>Calculation of pitch angle and energy diffusion coefficients with the PADIE code</t>
  </si>
  <si>
    <t>RADIATION BELT ELECTRONS; WHISTLER-MODE CHORUS; ION-CYCLOTRON WAVES; RELATIVISTIC ELECTRONS; INNER MAGNETOSPHERE; RESONANT DIFFUSION; ACCELERATION; PLASMA; SCATTERING; DYNAMICS</t>
  </si>
  <si>
    <t>We present a new computer code (PADIE) that calculates fully relativistic quasi-linear pitch angle and energy diffusion coefficients for resonant wave-particle interactions in a magnetized plasma. Unlike previous codes, the full electromagnetic dispersion relation is used so that interactions involving any linear electromagnetic wave mode in a predominantly cold plasma can be addressed for any ratio of the plasma-frequency to the cyclotron frequency omega(pe)/vertical bar Omega(e)vertical bar.. The code can be applied to problems in astrophysical, magnetospheric, and laboratory plasmas. The code is applied here to the Earth's radiation belts to calculate electron diffusion by whistler mode chorus, electromagnetic ion cyclotron (EMIC), and Z mode waves. The high-density approximation is remarkably good for electron diffusion by whistler mode chorus for energies E &gt;= 100 keV, even for omega(pe)/vertical bar Omega(e)vertical bar approximate to 2 but underestimates diffusion by orders of magnitude at low energies (similar to 10 keV). When a realistic angular spread of propagating waves is introduced for EMIC waves, electron diffusion at similar to 0.5 MeV is only slightly reduced compared with the assumption of field-aligned propagation, but at similar to 5 MeV, electron diffusion at pitch angles near 90 degrees is reduced by a factor of 5 and increased by several orders of magnitude at pitch angles 30 degrees-80 degrees. Scattering by EMIC waves should contribute to flattening of the distribution function. The first results for electron diffusion by Z mode waves are presented. They show that unlike the whistler and EMIC waves, energy diffusion exceeds pitch angle diffusion over a broad range of pitch angles less than 45 degrees. The results suggest that Z mode waves could provide a significant contribution to electron acceleration in the radiation belts during storm times.</t>
  </si>
  <si>
    <t>sagl@bas.ac.uk; r.horne@bas.ac.uk</t>
  </si>
  <si>
    <t>Horne, Richard B/U-3764-2019</t>
  </si>
  <si>
    <t>Horne, Richard B/0000-0002-0412-6407</t>
  </si>
  <si>
    <t>APR 9</t>
  </si>
  <si>
    <t>A04206</t>
  </si>
  <si>
    <t>10.1029/2004JA010851</t>
  </si>
  <si>
    <t>916JS</t>
  </si>
  <si>
    <t>WOS:000228381800007</t>
  </si>
  <si>
    <t>Bertler, NAN; Barrett, PJ; Mayewski, PA; Fogt, RL; Kreutz, KJ; Shulmeister, J</t>
  </si>
  <si>
    <t>Reply to comment by Doran et al. on El Nino suppresses Antarctic warming</t>
  </si>
  <si>
    <t>Univ Victoria, Antarctic Res Ctr, Wellington, New Zealand; Ohio State Univ, Byrd Polar Res Ctr, Columbus, OH 43210 USA; Univ Maine, Climate Change Inst, Edward T Bryand Global Sci Ctr 5790, Orono, ME 04469 USA; Univ Canterbury, Dept Geol Sci, Christchurch 1, New Zealand</t>
  </si>
  <si>
    <t>Victoria University Wellington; University System of Ohio; Ohio State University; University of Maine System; University of Maine Orono; University of Canterbury</t>
  </si>
  <si>
    <t>Bertler, NAN (corresponding author), Univ Victoria, Antarctic Res Ctr, POB 600, Wellington, New Zealand.</t>
  </si>
  <si>
    <t>nancy.bertler@vuw.ac.nz</t>
  </si>
  <si>
    <t>Fogt, Ryan L/B-6989-2008; Bertler, Nancy A N/F-3967-2011; Mayewski, Paul Andrew/HRD-6969-2023; shulmeister, james/J-2859-2015</t>
  </si>
  <si>
    <t>Fogt, Ryan L/0000-0002-5398-3990; Bertler, Nancy/0000-0001-6028-4891; shulmeister, james/0000-0001-5863-9462</t>
  </si>
  <si>
    <t>APR 8</t>
  </si>
  <si>
    <t>L07707</t>
  </si>
  <si>
    <t>10.1029/2005GL022595</t>
  </si>
  <si>
    <t>916HW</t>
  </si>
  <si>
    <t>WOS:000228377000005</t>
  </si>
  <si>
    <t>Doran, PT; Priscu, JC; Lyons, WB; Walsh, JE; Fountain, AG; McKnight, DM; Moorhead, DL; Virginia, RA; Wall, DH; Clow, GD; Fritsen, CH; McKay, CP; Parsons, AN</t>
  </si>
  <si>
    <t>Comment on El Nino suppresses Antarctic warming by N. Bertler et al.</t>
  </si>
  <si>
    <t>HEMISPHERE CLIMATE-CHANGE; MCMURDO DRY VALLEYS; LAKE-LEVEL; SIMULATION</t>
  </si>
  <si>
    <t>Univ Illinois, Dept Earth &amp; Environm Sci, Chicago, IL 60607 USA; Denver Fed Ctr, US Geol Survey, Climate Program, Denver, CO 80225 USA; Portland State Univ, Dept Geol, Portland, OR 97207 USA; Univ Nevada, Desert Res Inst, Div Earth &amp; Ecosyst Sci, Reno, NV 89512 USA; Ohio State Univ, Byrd Polar Res Ctr, Columbus, OH 43210 USA; Nasa, Ames Res Ctr, Div Space Sci, Moffett Field, CA 94305 USA; Univ Colorado, Inst Arctic &amp; Alpine Res, Boulder, CO 80309 USA; Univ Toledo, Dept Earth Ecol &amp; Environm Sci, Toledo, OH 43606 USA; NERC, Swindon SN2 1EU, Wilts, England; Montana State Univ, Bozeman, MT 59717 USA; Dartmouth Coll, Environm Studies Program, Hanover, NH 03755 USA; Colorado State Univ, Nat Resource Ecol Lab, Ft Collins, CO 80523 USA; Univ Alaska Fairbanks, Ctr Global Change &amp; Arctic Syst Res, Fairbanks, AK 99775 USA</t>
  </si>
  <si>
    <t>University of Illinois System; University of Illinois Chicago; University of Illinois Chicago Hospital; United States Department of the Interior; United States Geological Survey; Portland State University; Nevada System of Higher Education (NSHE); University of Nevada Reno; Desert Research Institute NSHE; University System of Ohio; Ohio State University; National Aeronautics &amp; Space Administration (NASA); NASA Ames Research Center; University of Colorado System; University of Colorado Boulder; University System of Ohio; University of Toledo; UK Research &amp; Innovation (UKRI); Natural Environment Research Council (NERC); Montana State University System; Montana State University Bozeman; Dartmouth College; Colorado State University; University of Alaska System; University of Alaska Fairbanks</t>
  </si>
  <si>
    <t>Doran, PT (corresponding author), Univ Illinois, Dept Earth &amp; Environm Sci, 845 W Taylor St, Chicago, IL 60607 USA.</t>
  </si>
  <si>
    <t>pdoran@uic.edu</t>
  </si>
  <si>
    <t>Wall, Diana H/F-5491-2011; Walsh, John/GQI-2785-2022</t>
  </si>
  <si>
    <t>Walsh, John/0000-0002-2510-8734; McKay, Christopher/0000-0002-6243-1362; Walsh, John/0000-0001-9541-5927; MCKNIGHT, DIANE/0000-0002-4171-1533</t>
  </si>
  <si>
    <t>L07706</t>
  </si>
  <si>
    <t>10.1029/2004GL021716</t>
  </si>
  <si>
    <t>WOS:000228377000001</t>
  </si>
  <si>
    <t>Reason, CJC; Rouault, M</t>
  </si>
  <si>
    <t>Links between the Antarctic Oscillation and winter rainfall over western South Africa</t>
  </si>
  <si>
    <t>Relationships between the Antarctic Oscillation (AAO) and winter rainfall over western South Africa are investigated. This region receives most of its annual rainfall during austral winter and often experiences severe drought. It is found that 6 (6) of the 7 (8) wettest ( driest) winters (JJA) during 1948-2004 occur during negative (positive) AAO phase, i.e., positive (negative) pressure anomalies over Antarctica and negative (positive) anomalies over the midlatitudes. The mechanisms by which the AAO appears to influence winter rainfall involve shifts in the subtropical jet, and changes in the low-level moisture flux upstream over the South Atlantic and in the mid-level uplift, low-level convergence and relative vorticity over the region. The anomalous circulation patterns extend into spring; thus, the springs following the identified winters also show similar rainfall anomalies.</t>
  </si>
  <si>
    <t>Univ Cape Town, Dept Oceanog, ZA-7701 Rondebosch, South Africa</t>
  </si>
  <si>
    <t>University of Cape Town</t>
  </si>
  <si>
    <t>Univ Cape Town, Dept Oceanog, ZA-7701 Rondebosch, South Africa.</t>
  </si>
  <si>
    <t>cjr@egs.uct.ac.za</t>
  </si>
  <si>
    <t>APR 7</t>
  </si>
  <si>
    <t>L07705</t>
  </si>
  <si>
    <t>10.1029/2005GL022419</t>
  </si>
  <si>
    <t>916HR</t>
  </si>
  <si>
    <t>WOS:000228376500005</t>
  </si>
  <si>
    <t>Kekonen, T; Moore, J; Perämäki, P; Mulvaney, R; Isaksson, E; Pohjola, V; van de Wal, RSW</t>
  </si>
  <si>
    <t>The 800 year long ion record from the Lomonosovfonna (Svalbard) ice core -: art. no. D07304</t>
  </si>
  <si>
    <t>ATMOSPHERIC CIRCULATION; NITRATE CONCENTRATIONS; ANTHROPOGENIC SULFATE; SNOW; CHEMISTRY; POLLUTION; CAP; ACCUMULATION; CLIMATE; SIGNALS</t>
  </si>
  <si>
    <t>We present a high-resolution record of water-soluble ion chemistry from a 121 m ice core spanning about 800 years. The core is well dated to 2/3 depth using cycle counting and reference horizons and a simple but close fitting model for the lower 1/3 of the core. This core suffers from modest seasonal melt, and so we present concentration data in decadal running means to minimize percolation effects. Sea-salt ions (Na+, Cl-, Mg2+, and K+) account for more than 70% of all ions. In general, sea-salt ion concentrations are rather variable and have no clear association with climatic variations. Sulfate, with 74% being from non-sea-salt sources, has higher concentrations than seen on Vestfonna ice cap but lower than in Ny-angstrom lesund aerosols, suggesting central Spitsbergen receives more marine (westerly) air masses than Ny-angstrom lesund but more sulfate enriched (easterly) air masses than Nordaustlandet. Clear anthropogenic impacts are found for sulfate, nitrate, and ammonium (and probably excess chloride) after the mid twentieth century, with sulfate showing a significant rise by the end of the nineteenth century. Sulfate and methanesulfonate concentrations correlate well during the twentieth century, and it is clear that most of the preindustrial sulfate is of biogenic origin. Terrestrial component (Ca2+) has the highest concentrations in the coldest part of the Little Ice Age, suggesting more windy conditions, transporting local terrestrial dust to the ice cap. All ion concentrations decrease at the end of the twentieth century, which reflects loss of ions by runoff, with non-sea-salt magnesium being particularly sensitive to melting.</t>
  </si>
  <si>
    <t>Univ Lapland, Arctic Ctr, FIN-96101 Rovaniemi, Finland; British Antarctic Survey, NERC, Cambridge CB3 0ET, England; Norwegian Polar Res Inst, Polar Environm Ctr, Tromso, Norway; Uppsala Univ, Dept Earth Sci, S-75236 Uppsala, Sweden; Univ Utrecht, Inst Marine &amp; Atmospher Res, NL-3508 TA Utrecht, Netherlands</t>
  </si>
  <si>
    <t>University of Lapland; UK Research &amp; Innovation (UKRI); Natural Environment Research Council (NERC); NERC British Antarctic Survey; Norwegian Polar Institute; Uppsala University; Utrecht University</t>
  </si>
  <si>
    <t>Univ Oulu, Dept Chem, POB 3000, FIN-90014 Oulu, Finland.</t>
  </si>
  <si>
    <t>teija.kekonen@oulu.fi</t>
  </si>
  <si>
    <t>Moore, John C/B-2868-2013; van de wal, roderik/D-1705-2011; Mulvaney, Robert/K-3929-2012</t>
  </si>
  <si>
    <t>Moore, John C/0000-0001-8271-5787; van de wal, roderik/0000-0003-2543-3892; pohjola, veijo/0000-0001-6851-1673; Mulvaney, Robert/0000-0002-5372-8148; Peramaki, Paavo/0000-0001-7106-5678</t>
  </si>
  <si>
    <t>APR 6</t>
  </si>
  <si>
    <t>D7</t>
  </si>
  <si>
    <t>D07304</t>
  </si>
  <si>
    <t>10.1029/2004JD005223</t>
  </si>
  <si>
    <t>916IH</t>
  </si>
  <si>
    <t>WOS:000228378100002</t>
  </si>
  <si>
    <t>Connolley, WM</t>
  </si>
  <si>
    <t>Sea ice concentrations in the Weddell Sea: A comparison of SSM/I, ULS, and GCM data</t>
  </si>
  <si>
    <t>LOOKING SONARS; MODEL; SIMULATION; TRANSPORTS; COVERAGE; DRAFT</t>
  </si>
  <si>
    <t>The sea ice fraction in the interior of the pack, especially in winter, is important for climate studies and for validation of sea ice models. When ice concentration is high, a difference of only a few percent in ice fraction can have a major effect on the ocean-air fluxes. Satellite estimates of the ice fraction in the Antarctic winter based on microwave emissions are typically 90-95%, with values from the Bootstrap'' algorithm higher than the NASA team''. However coupled ocean-atmosphere models usually show higher concentrations. A recent evaluation for the Arctic has shown that the true winter ice fractions can be very high, above 99%. Upward looking sonar data from the Weddell Sea is used to show that Antarctic concentrations are higher than previously estimated, and to reevaluate climate model results in this light. The bootstrap algorithm is found to provide a better fit to the sonar data.</t>
  </si>
  <si>
    <t>Connolley, WM (corresponding author), British Antarctic Survey, Madingley Rd, Cambridge CB3 0ET, England.</t>
  </si>
  <si>
    <t>wmc@bas.ac.uk</t>
  </si>
  <si>
    <t>APR 2</t>
  </si>
  <si>
    <t>L07501</t>
  </si>
  <si>
    <t>10.1029/2004GL021898</t>
  </si>
  <si>
    <t>916DJ</t>
  </si>
  <si>
    <t>WOS:000228365300002</t>
  </si>
  <si>
    <t>Sowers, T; Bernard, S; Aballain, O; Chappellaz, J; Barnola, JM; Marik, T</t>
  </si>
  <si>
    <t>Records of the δ13C of atmospheric CH4 over the last 2 centuries as recorded in Antarctic snow and ice -: art. no. GB2002</t>
  </si>
  <si>
    <t>HYDROGEN ISOTOPIC COMPOSITIONS; STRATOSPHERIC METHANE; GAS CONCENTRATIONS; GROWTH-RATE; POLAR FIRN; CARBON; AIR; C-13; OXIDATION; RATIOS</t>
  </si>
  <si>
    <t>[1] Methane is one of the important greenhouse gases accumulating in the atmosphere today. The increased loading over the past 2 centuries is thought to be the result of increased anthropogenic emissions. Here we present records of the delta C-13 of CH4 in firn air from the South Pole and in trapped bubbles in a short ice core from Siple Dome, Antarctica, that help constrain historical emissions of various sources throughout the last 2 centuries. Using two firn air samplings in 1995 and 2001 we calculate that delta(CH4)-C-13 has increased by an average of 0.06 +/- 0.02 parts per thousand/ yr over the 6 years between samplings. Our ice core results suggest the delta C-13 of atmospheric CH4 has increased by 1.8 +/- 0.2 parts per thousand between 1820 A. D. and 2001 AD. The delta(CH4)-C-13 changes in both data sets are the result of an increase in the relative proportion of CH4 sources with elevated C-13/C-12 isotope ratios. One explanation for observed trends involves a 16 Tg/yr increase in CH4 emissions associated with biomass burning over the past 2 centuries.</t>
  </si>
  <si>
    <t>Penn State Univ, Dept Geosci, University Pk, PA 16802 USA; Penn State Univ, Earth &amp; Environm Syst Inst, University Pk, PA 16802 USA; Heidelberg Univ, Inst Environm Phys, Heidelberg, Germany; UJF, CNRS, Lab Glaciol &amp; Geophys Environm, F-38042 St Martin Dheres, France</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</si>
  <si>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Ruprecht Karls University Heidelberg; Centre National de la Recherche Scientifique (CNRS); Communaute Universite Grenoble Alpes; Universite Grenoble Alpes (UGA)</t>
  </si>
  <si>
    <t>Penn State Univ, Dept Geosci, 237 Deike Bldg, University Pk, PA 16802 USA.</t>
  </si>
  <si>
    <t>sowers@geosc.psu.edu; bernard@lgge.obs.ujf-grenoble.fr; oaballain@20minutes.fr; jerome@lgge.obs.ujf-grenoble.fr; barnola@lgge.obs.ujf-grenoble.fr; thomas@marik.de</t>
  </si>
  <si>
    <t>Chappellaz, Jérôme A./A-4872-2011</t>
  </si>
  <si>
    <t>GB2002</t>
  </si>
  <si>
    <t>10.1029/2004GB002408</t>
  </si>
  <si>
    <t>916DN</t>
  </si>
  <si>
    <t>WOS:000228365700002</t>
  </si>
  <si>
    <t>Kato, S; Loeb, NG</t>
  </si>
  <si>
    <t>Top-of-atmosphere shortwave broadband observed radiance and estimated irradiance over polar regions from Clouds and the Earth's Radiant Energy System (CERES) instruments on Terra</t>
  </si>
  <si>
    <t>ANGULAR-DISTRIBUTION MODELS; MEASURING MISSION SATELLITE; RADIATIVE FLUX ESTIMATION; BIDIRECTIONAL REFLECTANCE; SEA-ICE; OPTICAL-PROPERTIES; SPECTRAL ALBEDO; ANTARCTIC SNOW; PART I; ERBE</t>
  </si>
  <si>
    <t>Empirical angular distribution models for estimating top-of-atmosphere shortwave irradiances from radiance measurements over permanent snow, fresh snow, and sea ice are developed using CERES measurements on Terra. Permanent snow angular distribution models depend on cloud fraction, cloud optical thickness, and snow brightness. Fresh snow and sea ice angular distribution models depend on snow and sea ice fraction, cloud fraction, cloud optical thickness, and snow and ice brightness. These classifications lead to 10 scene types for permanent snow and 25 scene types for fresh snow and sea ice. The average radiance over clear-sky permanent snow is more isotropic with satellite viewing geometry than that over overcast permanent snow. On average, the albedo of clear-sky permanent snow varies from 0.65 to 0.68 for solar zenith angles between 60 degrees and 80 degrees, while the corresponding albedo of overcast scenes varies from 0.70 to 0.73. Clear-sky permanent snow albedos over Antarctica estimated from two independent angular distribution models are consistent to within 0.6%, on average. Despite significant variability in sea ice optical properties with season, the estimated mean relative albedo error is -1.0% for very dark sea ice and 0.1% for very bright sea ice when albedos derived from different viewing angles are averaged. The estimated regional root-mean-square (RMS) relative albedo error is 5.6% and 2.6% when the sea ice angular distribution models are applied to a region that contains very dark and very bright sea ice, respectively. Similarly, the estimated relative albedo bias error for fresh snow is -0.1% for very dark snow scenes and 0.1% for very bright snow scenes. The estimated regional RMS relative albedo error is 3.5% and 5.0% when angular distribution models are applied to a region that contains very dark and very bright fresh snow, respectively. These error estimates are only due to angular distribution model error and do not include the error caused by scene identification.</t>
  </si>
  <si>
    <t>Hampton Univ, Ctr Atmospher Sci, Hampton, VA 23668 USA</t>
  </si>
  <si>
    <t>Hampton University</t>
  </si>
  <si>
    <t>Kato, S (corresponding author), NASA, Langley Res Ctr, Mail Stop 420, Hampton, VA 23681 USA.</t>
  </si>
  <si>
    <t>s.kato@larc.nasa.gov; n.g.loeb@larc.nasa.gov</t>
  </si>
  <si>
    <t>Loeb, Norman/ABC-7817-2021; Keyes, Dennis/AAZ-9285-2021</t>
  </si>
  <si>
    <t>D07202</t>
  </si>
  <si>
    <t>10.1029/2004JD005308</t>
  </si>
  <si>
    <t>916DY</t>
  </si>
  <si>
    <t>WOS:000228366800003</t>
  </si>
  <si>
    <t>Grotti, M; Abelmoschi, ML; Dalla Riva, S; Soggia, F; Frache, R</t>
  </si>
  <si>
    <t>Determination of lead in bone tissues by axially viewed inductively coupled plasma multichannel-based emission spectrometry</t>
  </si>
  <si>
    <t>ANALYTICAL AND BIOANALYTICAL CHEMISTRY</t>
  </si>
  <si>
    <t>inductively coupled plasma; atomic emission spectrometry; bone; internal standardization; matrix effects; Antarctica</t>
  </si>
  <si>
    <t>ATOMIC-ABSORPTION-SPECTROMETRY; PRINCIPAL COMPONENT ANALYSIS; BACKGROUND CORRECTION; INTERNAL STANDARDS; CADMIUM; COPPER; ZINC; REDUCTION; PHOSPHATE; ELEMENTS</t>
  </si>
  <si>
    <t>A new procedure for determining low levels of lead in bone tissues has been developed. After wet acid digestion in a pressurized microwave-heated system, the solution was analyzed by inductively coupled plasma multichannel-based emission spectrometry. Internal standardization using the Co 228.615 nm reference line was chosen as the optimal method to compensate for the matrix effects from the presence of calcium and nitric acid at high concentration levels. The detection limit of the procedure was 0.11 mu g Pb g(-1) dry mass. Instrumental precision at the analytical concentration of similar to 10 mu g l(-1) ranged from 6.1 to 9.4%. Precision of the sample preparation step was 5.4%. The concentration of lead in SRM 1486 (1.32 +/- 0.04 mu g g(-1)) found using the new procedure was in excellent agreement with the certified level (1.335 +/- 0.014 mu g g(-1)). Finally, the method was applied to determine the lead in various fish bone tissues, and the analytical results were found to be in good agreement with those obtained through differential pulse anodic stripping voltammetry. The method is therefore suitable for the reliable determination of lead at concentration levels of below 1 mu g g(-1) in bone samples. Moreover, the multi-element capability of the technique allows us to simultaneously determine other major or trace elements in order to investigate inter-element correlation and to compute enrichment factors, making the proposed procedure particularly useful for investigating lead occurrence and pathways in fish bone tissues in order to find suitable biomarkers for the Antarctic marine environment.</t>
  </si>
  <si>
    <t>1618-2642</t>
  </si>
  <si>
    <t>ANAL BIOANAL CHEM</t>
  </si>
  <si>
    <t>Anal. Bioanal. Chem.</t>
  </si>
  <si>
    <t>APR</t>
  </si>
  <si>
    <t>10.1007/s00216-005-3057-z</t>
  </si>
  <si>
    <t>915DP</t>
  </si>
  <si>
    <t>WOS:000228278200013</t>
  </si>
  <si>
    <t>Cockell, CS; Schuerger, AC; Billi, D; Friedmann, EI; Panitz, C</t>
  </si>
  <si>
    <t>Effects of a simulated martian UV flux on the cyanobacterium, Chroococcidiopsis sp 029</t>
  </si>
  <si>
    <t>ASTROBIOLOGY</t>
  </si>
  <si>
    <t>BACILLUS-SUBTILIS SPORES; MAGNETIC-PROPERTIES; ESTERASE-ACTIVITY; SOLAR-RADIATION; MARS; SOIL; PHYCOBILIPROTEINS; DEGRADATION; ENVIRONMENT; DUST</t>
  </si>
  <si>
    <t>Dried monolayers of Chroococcidiopsis sp. 029, a desiccation-tolerant, endolithic cyanobacterium, were exposed to a simulated martian-surface UV and visible light flux, which may also approximate to the worst-case scenario for the Archean Earth. After 5 min, there was a 99% loss of cell viability, and there were no survivors after 30 min. However, this survival was approximately 10 times higher than that previously reported for Bacillus subtilis. We show that under I mm of rock, Chroococcidiopsis sp. could survive (and potentially grow) under the high martian UV flux if water and nutrient requirements for growth were met. In isolated cells, phycobilisomes and esterases remained intact hours after viability was lost. Esterase activity was reduced by 99% after a 1-h exposure, while 99% loss of autofluorescence required a 4-h exposure. However, cell morphology was not changed, and DNA was still detectable by 4',6-diamidino-2-phenylindole staining after an 8-h exposure (equivalent to approximately 1 day on Mars at the equator). Under 1 mm of simulant martian soil or gneiss, the effect of UV radiation could not be detected on esterase activity or autofluorescence after 4 h. These results show that under the intense martian UV flux the morphological signatures of life can persist even after viability, enzymatic activity, and pigmentation have been destroyed. Finally, the global dispersal of viable, isolated cells of even this desiccation-tolerant, ionizing-radiation-resistant microorganism on Mars is unlikely as they are killed quickly by unattenuated UV radiation when in a desiccated state. These findings have implications for the survival of diverse microbial contaminants dispersed during the course of human exploratory class missions on the surface of Mars.</t>
  </si>
  <si>
    <t>British Antarctic Survey, Cambridge CB1 3AR, England; Univ Florida, Dept Plant Pathol, Space Life Sci Lab, Kennedy Space Ctr, Gainesville, FL 32611 USA; Univ Roma Tor Vergata, Dept Biol, Rome, Italy; NASA, Ames Res Ctr, Moffett Field, CA 94035 USA; German Aerosp Ctr, Inst Aerosp Med, Cologne, Germany</t>
  </si>
  <si>
    <t>UK Research &amp; Innovation (UKRI); Natural Environment Research Council (NERC); NERC British Antarctic Survey; State University System of Florida; University of Florida; National Aeronautics &amp; Space Administration (NASA); Kennedy Space Center; University of Rome Tor Vergata; National Aeronautics &amp; Space Administration (NASA); NASA Ames Research Center; Helmholtz Association; German Aerospace Centre (DLR)</t>
  </si>
  <si>
    <t>British Antarctic Survey, High Croos Madingley Rd, Cambridge CB1 3AR, England.</t>
  </si>
  <si>
    <t>ccockell@ccockell.go-plus.net</t>
  </si>
  <si>
    <t>Schuerger, Andrew/0000-0003-3781-5046; BILLI, DANIELA/0000-0002-9363-2415</t>
  </si>
  <si>
    <t>MARY ANN LIEBERT, INC</t>
  </si>
  <si>
    <t>NEW ROCHELLE</t>
  </si>
  <si>
    <t>140 HUGUENOT STREET, 3RD FL, NEW ROCHELLE, NY 10801 USA</t>
  </si>
  <si>
    <t>1531-1074</t>
  </si>
  <si>
    <t>1557-8070</t>
  </si>
  <si>
    <t>Astrobiology</t>
  </si>
  <si>
    <t>10.1089/ast.2005.5.127</t>
  </si>
  <si>
    <t>Astronomy &amp; Astrophysics; Biology; Geosciences, Multidisciplinary</t>
  </si>
  <si>
    <t>Astronomy &amp; Astrophysics; Life Sciences &amp; Biomedicine - Other Topics; Geology</t>
  </si>
  <si>
    <t>916UZ</t>
  </si>
  <si>
    <t>WOS:000228413100003</t>
  </si>
  <si>
    <t>Reid, K; Forcada, J</t>
  </si>
  <si>
    <t>Causes of offspring mortality in the Antarctic fur seal, Arctocephalus gazella:: the interaction of density dependence and ecosystem variability</t>
  </si>
  <si>
    <t>CANADIAN JOURNAL OF ZOOLOGY</t>
  </si>
  <si>
    <t>POPULATION-GROWTH; PARADIGMS; COLLAPSE; CLIMATE</t>
  </si>
  <si>
    <t>Rates of pup production and causes of pup mortality, recorded in a designated study colony on Bird Island, South Georgia, from 1989 to 2003, were used to evaluate the factors influencing the growth of the population of Antarctic fur seals, Arctocephalus gazella (Peters, 1875). The mean number of pups produced per year was 680 (range 444-822) with a mean survival rate of 77.6% (range 52.6%-92.8%). Starvation, arising from reduced food availability within the mothers' foraging area, was the most frequently recorded cause of death and was positively correlated with the overall rate of pup survival, although it showed no relationship with the number of pups produced. However, traumatic injury showed a local relationship with seal density, increasing significantly with increasing numbers of seals born. This suggests that environmental processes that reduce the availability of prey to lactating mothers, rather than space limitation within colonies, are the limiting factor in the population increase of Antarctic fur seals at South Georgia. The spatial scales over which such processes operate, relative to the local-scale effects of densities of animals within colonies, have important implications for the future expansion of the population and the resultant trophodynamic interactions.</t>
  </si>
  <si>
    <t>Forcada, Jaume/GYU-0677-2022</t>
  </si>
  <si>
    <t>CANADIAN SCIENCE PUBLISHING</t>
  </si>
  <si>
    <t>OTTAWA</t>
  </si>
  <si>
    <t>65 AURIGA DR, SUITE 203, OTTAWA, ON K2E 7W6, CANADA</t>
  </si>
  <si>
    <t>0008-4301</t>
  </si>
  <si>
    <t>1480-3283</t>
  </si>
  <si>
    <t>CAN J ZOOL</t>
  </si>
  <si>
    <t>Can. J. Zool.</t>
  </si>
  <si>
    <t>10.1139/Z05-045</t>
  </si>
  <si>
    <t>949TW</t>
  </si>
  <si>
    <t>WOS:000230812000010</t>
  </si>
  <si>
    <t>Danelian, T; Le Callonnec, L; Erbacher, J; Mosher, DC; Malone, MJ; Berti, D; Bice, KL; Bostock, H; Brumsack, HE; Forster, A; Heidersdorf, F; Henderiks, J; Janecek, TJ; Junium, C; MacLeod, K; Meyers, PA; Mutterlose, JH; Nishi, H; Norris, RD; Ogg, JG; O'Regan, MA; Rea, B; Sexton, PF; Sturt-Fredricks, H; Suganuma, Y; Thurow, JW; Wilson, PA; Wise, SW; Glatz, C</t>
  </si>
  <si>
    <t>Preliminary results on Cretaceous-Tertiary tropical Atlantic pelagic sedimentation (Demerara Rise, ODP Leg 207).</t>
  </si>
  <si>
    <t>COMPTES RENDUS GEOSCIENCE</t>
  </si>
  <si>
    <t>French</t>
  </si>
  <si>
    <t>Tropical Atlantic; Demerara; Cretaceous; tertiary; black shales</t>
  </si>
  <si>
    <t>STRATIGRAPHY; BOUNDARY</t>
  </si>
  <si>
    <t>Five sites located on a bathymetric transect of the distal Demerara Rise were studied by ODP Leg 207. Albian sediments of essentially terrigenous nature (clay, siltstone, sandstone) are the oldest drilled stratigraphic levels and form apparently the top of the synrift sequence. They are overlain by Cenomanian to Santonian finely laminated black shales, rich in organic matter of marine origin, which accumulated on a thermally subsiding ramp. Early Campanian hiatuses are thought to be the result of final disjunction of Demerara Rise (South America) from Africa and the onset of deep water communication between the two Atlantic basins (south and central). The overlying Uppermost Cretaceous-Oligocene chalk includes rich and diversified calcareous plankton assemblages, as well as two radiolarian-rich intervals (Late Campanian and Middle Eocene). A complex erosional surface developed during the Late Oligocene-Early Miocene. Sedimentation was impeded since then on the intermediate and deep sites of Demerara Rise, possibly due to the action of deep submarine currents. (c) 2005 Academie des sciences. Publie par Elsevier SAS. Tous droits reserves.</t>
  </si>
  <si>
    <t>Univ Paris 06, CNRS, UMR 5143, Dept Geol Sedimentaire, F-75252 Paris, France; Univ Paris 06, CNRS Cepage, FR32, Dept Geol Sedimentaire, F-75252 Paris, France; Bundesanstalt Geowissensch &amp; Rohstoffe, D-30655 Hannover, Germany; Geol Survey Canada, Bedford Inst Oceanog, Dartmouth, NS B2Y 4A2, Canada; Texas A&amp;M Univ, Integrated Ocean Drilling Program, College Stn, TX 77845 USA; Texas A&amp;M Univ, Dept Oceanog, College Stn, TX 77843 USA; Australian Natl Univ, Dept Earth &amp; Marine Sci, Canberra, ACT 0200, Australia; Woods Hole Oceanog Inst, Dept Geol &amp; Geophys, Woods Hole, MA 02543 USA; Carl von Ossietzky Univ Oldenburg, ICBM, D-26111 Oldenburg, Germany; Royal Netherlands Inst Sea Res, Dept Marine Biogeochem &amp; Toxicol, NL-1790 AB Den Burg, Netherlands; Univ Bremen, Dept Geosci, D-28359 Bremen, Germany; Stockholm Univ, Dept Geol &amp; Geochem, S-10691 Stockholm, Sweden; Florida State Univ, Antarctic Res Facil, Dept Geol Sci, Tallahassee, FL 32306 USA; Penn State Univ, Dept Geosci, University Pk, PA 16801 USA; Univ Missouri, Dept Geol Sci, Columbia, MO 65211 USA; Univ Michigan, Dept Geol Sci, Ann Arbor, MI 48109 USA; Ruhr Univ Bochum, Inst Geol Mineral &amp; Geophys, D-44801 Bochum, Germany; Kyushu Univ, Grad Sch Social &amp; Cultural Studies, Chuo Ku, Fukuoka 8108560, Japan; Univ Calif San Diego, Scripps Inst Oceanog, La Jolla, CA 92093 USA; Purdue Univ, Dept Earth &amp; Atmospher Sci, W Lafayette, IN 47907 USA; Univ Rhode Isl, Grad Sch Oceanog, Narragansett, RI 02882 USA; Univ Leicester, Dept Geol, Leicester LE1 7RH, Leics, England; Southampton Oceanog Ctr, Sch Ocean &amp; Earth Sci, Southampton SO14 3ZH, Hants, England; Univ Tokyo, Dept Ocean Floor Geosci, Nakano Ku, Tokyo 1648639, Japan; UCL, Dept Earth Sci, London WC1E 6BT, England</t>
  </si>
  <si>
    <t>Centre National de la Recherche Scientifique (CNRS); Sorbonne Universite; Sorbonne Universite; Bedford Institute of Oceanography; Natural Resources Canada; Lands &amp; Minerals Sector - Natural Resources Canada; Geological Survey of Canada; Texas A&amp;M University System; Texas A&amp;M University College Station; Texas A&amp;M University System; Texas A&amp;M University College Station; Australian National University; Woods Hole Oceanographic Institution; Carl von Ossietzky Universitat Oldenburg; Utrecht University; Royal Netherlands Institute for Sea Research (NIOZ); University of Bremen; Stockholm University; State University System of Florida; Florida State University; Pennsylvania Commonwealth System of Higher Education (PCSHE); Pennsylvania State University; Pennsylvania State University - University Park; University of Missouri System; University of Missouri Columbia; University of Michigan System; University of Michigan; Ruhr University Bochum; Kyushu University; University of California System; University of California San Diego; Scripps Institution of Oceanography; Purdue University System; Purdue University; University of Rhode Island; University of Leicester; University of Southampton; NERC National Oceanography Centre; University of Tokyo; University of London; University College London</t>
  </si>
  <si>
    <t>Univ Paris 06, CNRS, UMR 5143, Dept Geol Sedimentaire, C 104,4 Pl Jussieu, F-75252 Paris, France.</t>
  </si>
  <si>
    <t>danelian@ccr.jussieu.fr</t>
  </si>
  <si>
    <t>Henderiks, Jorijntje/JGL-6527-2023; Bostock, Helen/A-6834-2013; O'Regan, Matt/P-6277-2019; MacLeod, Kenneth/GWU-8940-2022; Berti, Debora/JDW-3124-2023; Henderiks, Jorijntje/ABB-1080-2020; MacLeod, Kenneth Gillies/C-4042-2017; Sexton, Philip F/B-2493-2010; O'Regan, Matt/B-2157-2010; Mosher, David/AAC-2112-2020; Danelian, Taniel/A-7067-2018; Brumsack, Hans-Juergen/O-7942-2016</t>
  </si>
  <si>
    <t>Bostock, Helen/0000-0002-8903-8958; O'Regan, Matt/0000-0002-6046-1488; MacLeod, Kenneth Gillies/0000-0002-6016-0837; Wilson, Paul/0000-0001-6425-8906; Danelian, Taniel/0000-0001-9496-2363; Erbacher, Jochen/0000-0003-2793-0307; Brumsack, Hans-Juergen/0000-0002-5549-5018; Ogg, James/0000-0001-5716-3511; suganuma, yusuke/0000-0003-3516-1317; Mosher, David/0000-0002-1976-6159; Henderiks, Jorijntje/0000-0001-9486-6275; Rea, Brice/0000-0002-9928-145X; Meyers, Philip/0000-0002-9709-7528; Berti, Debora/0000-0003-1123-7794</t>
  </si>
  <si>
    <t>ELSEVIER FRANCE-EDITIONS SCIENTIFIQUES MEDICALES ELSEVIER</t>
  </si>
  <si>
    <t>ISSY-LES-MOULINEAUX</t>
  </si>
  <si>
    <t>65 RUE CAMILLE DESMOULINS, CS50083, 92442 ISSY-LES-MOULINEAUX, FRANCE</t>
  </si>
  <si>
    <t>1631-0713</t>
  </si>
  <si>
    <t>1778-7025</t>
  </si>
  <si>
    <t>CR GEOSCI</t>
  </si>
  <si>
    <t>C. R. Geosci.</t>
  </si>
  <si>
    <t>10.1016/j.crte.2005.01.011</t>
  </si>
  <si>
    <t>921BB</t>
  </si>
  <si>
    <t>WOS:000228738100008</t>
  </si>
  <si>
    <t>Jungblut, AD; Hawes, I; Mountfort, D; Hitzfeld, B; Dietrich, DR; Burns, BP; Neilan, BA</t>
  </si>
  <si>
    <t>Diversity within cyanobacterial mat communities in variable salinity meltwater ponds of McMurdo Ice Shelf, Antarctica</t>
  </si>
  <si>
    <t>RIBOSOMAL-RNA SEQUENCES; SOUTHERN VICTORIA LAND; MICROBIAL DIVERSITY; DRY VALLEYS; STREAMS</t>
  </si>
  <si>
    <t>This study investigated the diversity of cyanobacterial mat communities of three meltwater ponds - Fresh, Orange and Salt Ponds, south of Bratina Island, McMurdo Ice Shelf, Antarctica. A combined morphological and genetic approach using clone libraries was used to investigate the influence of salinity on cyanobacterial diversity within these ecosystems without prior cultivation or isolation of cyanobacteria. We were able to identify 22 phylotypes belonging to Phormidium sp., Oscillatoria sp. and Lyngbya sp. In addition, we identified Antarctic Nostoc sp., Nodularia sp. and Anabaena sp. from the clone libraries. Fresh (17 phylotypes) and Orange (nine phylotypes) Ponds showed a similar diversity in contrast to that of the hypersaline Salt Pond (five phylotypes), where the diversity within cyanobacterial mats was reduced. Using the comparison of identified phylotypes with existing Antarctic sequence data, it was possible to gain further insight into the different levels of distribution of phylotypes identified in the investigated cyanobacterial mat communities of McMurdo Ice Shelf.</t>
  </si>
  <si>
    <t>Univ New S Wales, Kensington, NSW 2033, Australia; Natl Inst Water &amp; Atmospher Res, Hamilton, New Zealand; Cawthron Inst, Nelson, New Zealand; Swiss Agcy Environm Forests &amp; Landscape, Bern, Switzerland; Univ Konstanz, D-7750 Constance, Germany</t>
  </si>
  <si>
    <t>University of New South Wales Sydney; National Institute of Water &amp; Atmospheric Research (NIWA) - New Zealand; Cawthron Institute; University of Konstanz</t>
  </si>
  <si>
    <t>Univ New S Wales, Kensington, NSW 2033, Australia.</t>
  </si>
  <si>
    <t>b.neilan@unsw.edu.au</t>
  </si>
  <si>
    <t>BURNS, BRENDAN P/B-5093-2009; Dietrich, Daniel/AAP-8698-2021; Neilan, Brett A/I-5767-2012</t>
  </si>
  <si>
    <t>Neilan, Brett A/0000-0001-6113-772X; BURNS, BRENDAN/0000-0002-2962-2597; Hawes, Ian/0000-0003-2471-6903</t>
  </si>
  <si>
    <t>10.1111/j.1462-2920.2005.00717.x</t>
  </si>
  <si>
    <t>905TI</t>
  </si>
  <si>
    <t>WOS:000227592500019</t>
  </si>
  <si>
    <t>Hogue, VE; Wilkerson, FP; Dugdale, RC</t>
  </si>
  <si>
    <t>Ultraviolet-B radiation effects on natural phytoplankton assemblages of Central San Francisco Bay</t>
  </si>
  <si>
    <t>ESTUARIES</t>
  </si>
  <si>
    <t>DISSOLVED ORGANIC-MATTER; MARINE TROPHIC LEVELS; UV-RADIATION; ANTARCTIC PHYTOPLANKTON; NITROGEN-METABOLISM; DIFFERENT WAVEBANDS; SPECIES COMPOSITION; TIME SCALES; ICE ALGAE; N-15-NITRATE</t>
  </si>
  <si>
    <t>Since the discovery of a depletion of the stratospheric ozone layer over Antarctica in 1979, scientific attention has been directed towards the effects of increased doses of ultraviolet radiation on phytoplankton in other ecosystems. Little is known about the effects of ultraviolet-B (280-320 nm) radiation (UVBR) on temperate estuarine phytoplankton. Freshly collected phytoplankton samples from Central San Francisco Bay were exposed to ambient UVBR in quartz bottles and monitored for biomass and nutrient uptake rates for comparison with phytoplankton dispensed into bottles made of polycarbonate that effectively filtered out the UVBR to evaluate response to natural UVBR exposure. Short-term (10-12 h) exposure experiments were carried out monthly from October 1998 to October 1999. No significant effect of UVBR on chlorophyll a concentrations was found but a dear deleterious effect of UVBR on nutrient uptake was observed.</t>
  </si>
  <si>
    <t>San Francisco State Univ, Romberg Tiburon Ctr, Tiburon, CA 94920 USA</t>
  </si>
  <si>
    <t>California State University System; San Francisco State University</t>
  </si>
  <si>
    <t>Hogue, VE (corresponding author), San Francisco State Univ, Romberg Tiburon Ctr, 3152 Paradise Dr, Tiburon, CA 94920 USA.</t>
  </si>
  <si>
    <t>vhogue@sfsu.edu</t>
  </si>
  <si>
    <t>ESTUARINE RES FEDERATION</t>
  </si>
  <si>
    <t>PO BOX 368, LAWRENCE, KS 66044 USA</t>
  </si>
  <si>
    <t>0160-8347</t>
  </si>
  <si>
    <t>Estuaries</t>
  </si>
  <si>
    <t>10.1007/BF02732854</t>
  </si>
  <si>
    <t>Environmental Sciences; Marine &amp; Freshwater Biology</t>
  </si>
  <si>
    <t>928LV</t>
  </si>
  <si>
    <t>WOS:000229274000002</t>
  </si>
  <si>
    <t>Watson, DI; O'Riordan, RM; Barnes, DKA; Cross, T</t>
  </si>
  <si>
    <t>Temporal and spatial variability in the recruitment of barnacles and the local dominance of Elminius modestus Darwin in SW Ireland</t>
  </si>
  <si>
    <t>ESTUARINE COASTAL AND SHELF SCIENCE</t>
  </si>
  <si>
    <t>recruitment; panel substrata; Elminius modestus; Cirripedia; barnacles; rocky shores; introduced species; invasions</t>
  </si>
  <si>
    <t>CHTHAMALUS-MONTAGUI SOUTHWARD; CHINESE MITTEN CRAB; ISLE-OF-MAN; INTERTIDAL BARNACLES; LARVAL SETTLEMENT; ADULT BARNACLES; STELLATUS POLI; EUROPEAN SCALE; ABUNDANCE; ECOLOGY</t>
  </si>
  <si>
    <t>Deployment of processed natural substrata is a common method of investigating early settlement and recruitment processes, but has been under-utilised as a multi-depth method for barnacle study and analysis. Replicate, machined-slate panels (15 cm X 15,cm x 1 cm) were placed at 0 m (lower portion of the intertidal with 2 h emersion per tidal cycle), 6 m and 12 m at two sites of differing flow rate in Lough Hyne, SW Ireland. These panels were replaced serially every 30-60 days for a period of 3 years (2000-2003) to give monthly recruitment rates. Panels were also submersed for 60-120 days (Whirlpool Cliff, two locations) to show seasonal patterns and 370-400 days (Labhra Cliff) to show annual recruitment and survival patterns. The number, percentage cover and identity of all cirripede recruits were recorded. The greatest source of variability was with depth: between the intertidal (with many recruits) and the subtidal zones (few recruits). In general, intertidal recruitment was dominated by the introduced barnacle Elminius modestus Darwin. The high degree of water retention in Lough Hyne, combined with the high reproductive potential of E. modestus, has led to it becoming a self-perpetuating and locally dominant population. Balanus crenatus and Verruca stroemia dominated the longer immersed panels, highlighting the importance of post-recruitment processes to the survival of E. modestus recruits in the subtidal. Although E. modestus were found on subtidal monthly and seasonal panels, none were present on the subtidal annual panels. Temporally, month, season and time of placement were all found to be significant in explaining recruit number variability. Spatially, depth explained most variability of recruit numbers (6 m spatial separation), whilst site (approximate to 200 m spatial separation) only ever being significant in combination with other factors, as was location (approximate to 50 m spatial separation). The work highlights the importance of examining both temporal and spatial scales when investigating recruitment and post-recruitment processes of marine invertebrates, including introduced species. (c) 2004 Elsevier Ltd. All rights reserved.</t>
  </si>
  <si>
    <t>Natl Univ Ireland Univ Coll Cork, Dept Zool Ecol &amp; Plant Sci, Cork, Ireland; Natl Univ Singapore, Dept Biol Sci, Singapore 117543, Singapore; British Antarctic Survey, NERC, Cambridge CB3 0ET, England</t>
  </si>
  <si>
    <t>University College Cork; National University of Singapore; UK Research &amp; Innovation (UKRI); Natural Environment Research Council (NERC); NERC British Antarctic Survey</t>
  </si>
  <si>
    <t>Watson, DI (corresponding author), Natl Univ Ireland Univ Coll Cork, Dept Zool Ecol &amp; Plant Sci, Cork, Ireland.</t>
  </si>
  <si>
    <t>dwatson0373@hotmail.com</t>
  </si>
  <si>
    <t>0272-7714</t>
  </si>
  <si>
    <t>ESTUAR COAST SHELF S</t>
  </si>
  <si>
    <t>Estuar. Coast. Shelf Sci.</t>
  </si>
  <si>
    <t>10.1016/j.ecss.2004.10.015</t>
  </si>
  <si>
    <t>908FR</t>
  </si>
  <si>
    <t>WOS:000227773300012</t>
  </si>
  <si>
    <t>Garstecki, T; Brown, S; De Jonckheere, JF</t>
  </si>
  <si>
    <t>Description of Vahlkampfia signyensis n. sp (Heterolobosea), based on morphological, ultrastructural and molecular characteristics</t>
  </si>
  <si>
    <t>EUROPEAN JOURNAL OF PROTISTOLOGY</t>
  </si>
  <si>
    <t>Antarctica; Vahlkampfiidae; phylogeny; temperature; 5.8S rDNA; Vahlkampfia signyensis</t>
  </si>
  <si>
    <t>LIMAX AMEBAS; HARTMANNELLA; GYMNAMOEBIA; TEMPERATURE; LOBOSEA; WATER; SOIL</t>
  </si>
  <si>
    <t>Vahlkampfia signyensis n. sp. was isolated from two soil sites at Signy Island, South Orkney Islands, maritime Antarctic. Trophozoites of the species had a typical vahlkampfiid morphology, showed eruptive movement and did not form flagellates. However, Vahlkampfia signyensis differs from other described species of the genus in a range of morphological and ultrastructural characters, as well as in its 5.8S rDNA sequence. According to its 5.8S rDNA sequence. the new species is most closely related to Vahlkantpfia avara. An isolate of the new species had a temperature growth optimum of only 10 degrees C, and did not grow at either 30 degrees C or 37 degrees C. The low optimal growth temperature is adaptively significant for life in the maritime Antarctic. (c) 2005 Elsevier GmbH. All rights reserved.</t>
  </si>
  <si>
    <t>British Antarctic Survey, NERC, Cambridge CB3 0ET, England; CEH Dorset, Winfrith Technol Ctr, Dorchester DT2 8ZD, Dorset, England; Sci Inst Publ Hlth, B-1050 Brussels, Belgium</t>
  </si>
  <si>
    <t>UK Research &amp; Innovation (UKRI); Natural Environment Research Council (NERC); NERC British Antarctic Survey; UK Centre for Ecology &amp; Hydrology (UKCEH)</t>
  </si>
  <si>
    <t>Garstecki, T (corresponding author), British Antarctic Survey, NERC, High Cross,Madingley Rd, Cambridge CB3 0ET, England.</t>
  </si>
  <si>
    <t>tgarstecki@hotmail.com</t>
  </si>
  <si>
    <t>URBAN &amp; FISCHER VERLAG</t>
  </si>
  <si>
    <t>BRANCH OFFICE JENA, P O BOX 100537, D-07705 JENA, GERMANY</t>
  </si>
  <si>
    <t>0932-4739</t>
  </si>
  <si>
    <t>EUR J PROTISTOL</t>
  </si>
  <si>
    <t>Eur. J. Protistol.</t>
  </si>
  <si>
    <t>10.1016/j.ejop.2005.01.003</t>
  </si>
  <si>
    <t>940RZ</t>
  </si>
  <si>
    <t>WOS:000230163100004</t>
  </si>
  <si>
    <t>Napolitano, MJ; Shain, DH</t>
  </si>
  <si>
    <t>Distinctions in adenylate metabolism among organisms inhabiting temperature extremes</t>
  </si>
  <si>
    <t>EXTREMOPHILES</t>
  </si>
  <si>
    <t>adenylate; algae; ATP; bacteria; bioenergetics; fungi; psychrophile; thermophile</t>
  </si>
  <si>
    <t>ENERGY-METABOLISM; HOMEOVISCOUS ADAPTATION; BIOLOGICAL-MEMBRANES; ARENICOLA-MARINA; ANTARCTIC FISH; WORM</t>
  </si>
  <si>
    <t>Microbiota from multiple kingdoms ( e. g., Eubacteria, Fungi, Protista) thrive at temperature optima ranging from 0 - 20 degrees C ( psychrophiles) to 40 - 85 degrees C ( thermophiles). In this study, we have monitored changes in adenylate levels and growth rate as a function of temperature in disparate thermally adapted organisms. Our data indicate that growth rate and adenylate levels increase with temperature in mesophilic and thermophilic species, but rapid losses of adenosine 5'-triphosphate (ATP) occur upon cold or heat shock. By contrast, psychrophilic species decrease adenylate levels but increase growth rate as temperatures rise within their viable range. Moreover, psychrophilic ATP levels fell rapidly upon heat shock, but dramatic gains in ATP ( similar to 20 - 50%) were observed upon cold shock, even at sub-zero temperatures. These results suggest that energy metabolism in thermophiles resembles that in mesophiles, but that elevated adenylate nucleotides in psychrophiles may constitute a compensatory strategy for maintaining biochemical processes at low temperature.</t>
  </si>
  <si>
    <t>Rutgers State Univ, Dept Biol, Camden, NJ 08102 USA</t>
  </si>
  <si>
    <t>Rutgers University System; Rutgers University New Brunswick; Rutgers University Camden</t>
  </si>
  <si>
    <t>Rutgers State Univ, Dept Biol, 315 Penn St, Camden, NJ 08102 USA.</t>
  </si>
  <si>
    <t>dshain@camden.rutgers.edu</t>
  </si>
  <si>
    <t>CHIYODA FIRST BLDG EAST, 3-8-1 NISHI-KANDA, CHIYODA-KU, TOKYO, 101-0065, JAPAN</t>
  </si>
  <si>
    <t>1431-0651</t>
  </si>
  <si>
    <t>1433-4909</t>
  </si>
  <si>
    <t>Extremophiles</t>
  </si>
  <si>
    <t>10.1007/s00792-004-0424-1</t>
  </si>
  <si>
    <t>Biochemistry &amp; Molecular Biology; Microbiology</t>
  </si>
  <si>
    <t>919SR</t>
  </si>
  <si>
    <t>WOS:000228638400001</t>
  </si>
  <si>
    <t>Yoshimune, K; Galkin, A; Kulakova, L; Yoshimura, T; Esaki, N</t>
  </si>
  <si>
    <t>Cold-active DnaK of an Antarctic psychrotroph Shewanella sp Ac10 supporting the growth of dnaK-null mutant of Escherichia coli at cold temperatures</t>
  </si>
  <si>
    <t>Antarctic bacteria; psychrotroph; heat-shock response; DnaK; Shewanella sp.; Ac10</t>
  </si>
  <si>
    <t>MOLECULAR CHAPERONE DNAK; HEAT-SHOCK RESPONSE; ATPASE ACTIVITY; EXPRESSION; GENE; SEQUENCE; GRPE; PURIFICATION; REPLICATION; INITIATION</t>
  </si>
  <si>
    <t>Shewanella sp. Ac10 is a psychrotrophic bacterium isolated from the Antarctica that actively grows at such low temperatures as 0 degrees C. Immunoblot analyses showed that a heat-shock protein DnaK is inducibly formed by the bacterium at 24 degrees C, which is much lower than the temperatures causing heat shock in mesophiles such as Escherichia coli. We found that the Shewanella DnaK (SheDnaK) shows much higher ATPase activity at low temperatures than the DnaK of E. coli (EcoDnaK): a characteristic of a cold-active enzyme. The recombinant SheDnaK gene supported neither the growth of a dnaK-null mutant of E. coli at 43 degrees C nor lambda phage propagation at an even lower temperature, 30 degrees C. However, the recombinant SheDnaK gene enabled the E. coli mutant to grow at 15 degrees C. This is the first report of a DnaK supporting the growth of a dnaK-null mutant at low temperatures.</t>
  </si>
  <si>
    <t>Kyoto Univ, Inst Chem Res, Kyoto 6110011, Japan</t>
  </si>
  <si>
    <t>Kyoto University</t>
  </si>
  <si>
    <t>Kyoto Univ, Inst Chem Res, Kyoto 6110011, Japan.</t>
  </si>
  <si>
    <t>esaki@scl.kyoto-u.ac.jp</t>
  </si>
  <si>
    <t>10.1007/s00792-004-0429-9</t>
  </si>
  <si>
    <t>WOS:000228638400007</t>
  </si>
  <si>
    <t>Gilbert, JA; Davies, PL; Laybourn-Parry, J</t>
  </si>
  <si>
    <t>A hyperactive, Ca2+-dependent antifreeze protein in an Antarctic bacterium</t>
  </si>
  <si>
    <t>FEMS MICROBIOLOGY LETTERS</t>
  </si>
  <si>
    <t>antifreeze protein; thermal hysteresis; calcium; recrystallization inhibition; ice; Antarctic bacterium</t>
  </si>
  <si>
    <t>PSEUDOMONAS-PUTIDA GR12-2; THERMAL HYSTERESIS PROTEINS; RICH-REPEAT PROTEIN; WINTER RYE; ICE; GROWTH; FISH; SURVIVAL; INSECTS; CALCIUM</t>
  </si>
  <si>
    <t>In cold climates, some plants and bacteria that cannot avoid freezing use antifreeze proteins (AFPs) to lessen the destructive effects of ice recrystallization. These AFPs have weak freezing point depression activity, perhaps to avoid sudden, uncontrolled growth of ice. Here, we report on an uncharacteristically powerful bacterial AFP found in an Antarctic strain of the bacterium, Marinonionas primoryensis. It is Ca (2+)-dependent, shows evidence of cooperativity, and can produce over 2 degrees C of freezing point depression. Unlike most AFPs, it does not produce obvious crystal faceting during thermal hysteresis. This AFP might be capable of imparting freezing avoidance to M. primoryensis in ice-covered Antarctic lakes. A hyperactive bacterial AFP has not previously been reported. (c) 2005 Federation of European Microbiological Societies. Published by Elsevier B.V. All rights reserved.</t>
  </si>
  <si>
    <t>Queens Univ, Dept Biochem, Kingston, ON K7L 3N6, Canada; Queens Univ, Prot Engn Network Ctr Excellence, Kingston, ON K7L 3N6, Canada; Univ Nottingham, Sch Biosci, Nottingham NG7 2RD, England</t>
  </si>
  <si>
    <t>Queens University - Canada; Queens University - Canada; University of Nottingham</t>
  </si>
  <si>
    <t>Queens Univ, Dept Biochem, Kingston, ON K7L 3N6, Canada.</t>
  </si>
  <si>
    <t>daviesp@post.queensu.ca</t>
  </si>
  <si>
    <t>Gilbert, Jack/AAF-3270-2019</t>
  </si>
  <si>
    <t>0378-1097</t>
  </si>
  <si>
    <t>1574-6968</t>
  </si>
  <si>
    <t>FEMS MICROBIOL LETT</t>
  </si>
  <si>
    <t>FEMS Microbiol. Lett.</t>
  </si>
  <si>
    <t>APR 1</t>
  </si>
  <si>
    <t>10.1016/j.femsle.2005.02.022</t>
  </si>
  <si>
    <t>915DB</t>
  </si>
  <si>
    <t>WOS:000228276800010</t>
  </si>
  <si>
    <t>Brandon, EAA; Calkins, DG; Loughlin, TR; Davis, RW</t>
  </si>
  <si>
    <t>Neonatal growth of Steller sea lion (Eumetopias jubatus) pups in Alaska</t>
  </si>
  <si>
    <t>FISHERY BULLETIN</t>
  </si>
  <si>
    <t>ANTARCTIC FUR SEALS; HYDROGEN-ISOTOPE-DILUTION; SOUTHERN ELEPHANT SEALS; ATLANTIC HARP SEALS; DIFFERENTIAL MATERNAL INVESTMENT; ARCTOCEPHALUS-GAZELLA PUPS; TOTAL-BODY WATER; CYSTOPHORA-CRISTATA; PHOCA-GROENLANDICA; SEXUAL DIMORPHISM</t>
  </si>
  <si>
    <t>The growth rate of Steller sea lion (Eumetopias jubatus) pups was studied in southeast Alaska, the Gulf of Alaska, and the Aleutian Islands during the first six weeks after birth. The Steller sea lion population is currently stable in southeast Alaska but is declining in the Aleutian Islands and parts of the Gulf of Alaska. Male pups (22.6 kg [+/- 2.21 SD]) were significantly heavier than female pups (19.6 kg [+/- 80 SD]) at 1-5 days of age, but there were no significant differences among rookeries. Male and female pups grew (in mass, standard length, and axillary girth) at the same rate. Body mass and standard length increased at a faster rate for pups in the Aleutian Islands and the western Gulf of Alaska (0.45-0.48 kg/day and 0.47-0.53 cm/day, respectively) than in southeast Alaska (0.23 kg/day and 0.20 cm/day). Additionally, axillary girth increased at a faster rate for pups in the Aleutian Islands (0.59 cm/ day) than for pups in southeast Alaska v(0.25 cm/day). Our results indicate a greater maternal investment in male pups during gestation, but not during early lactation. Although differences in pup growth rate occurred among rookeries, there was no evidence that female sea lions and their pups were nutritionally stressed in the area of population decline.</t>
  </si>
  <si>
    <t>Texas A&amp;M Univ, Dept Marine Biol, Galveston, TX 77551 USA; Alaska SeaLife Ctr, Seward, AK 99664 USA</t>
  </si>
  <si>
    <t>Texas A&amp;M University System</t>
  </si>
  <si>
    <t>Davis, RW (corresponding author), 97A Lowell Ave, Newton, MA 02460 USA.</t>
  </si>
  <si>
    <t>davisr@tamug.edu</t>
  </si>
  <si>
    <t>NATL MARINE FISHERIES SERVICE SCIENTIFIC PUBL OFFICE</t>
  </si>
  <si>
    <t>SEATTLE</t>
  </si>
  <si>
    <t>7600 SAND POINT WAY NE BIN C15700, SEATTLE, WA 98115 USA</t>
  </si>
  <si>
    <t>0090-0656</t>
  </si>
  <si>
    <t>1937-4518</t>
  </si>
  <si>
    <t>FISH B-NOAA</t>
  </si>
  <si>
    <t>Fish. Bull.</t>
  </si>
  <si>
    <t>927BG</t>
  </si>
  <si>
    <t>WOS:000229166800002</t>
  </si>
  <si>
    <t>Buchanan, PC; Noguchi, T; Bogard, DD; Ebihara, M; Katayama, I</t>
  </si>
  <si>
    <t>Glass veins in the unequilibrated eucrite Yamato 82202</t>
  </si>
  <si>
    <t>PETROLOGY; HISTORY; ORIGIN; METAMORPHISM; CHONDRITES; DIOGENITES; HOWARDITE; VESTA; AGES</t>
  </si>
  <si>
    <t>The unequilibrated eucrite Yamato 82202 (Y82202) contains a network of relatively thick (up to 1 mm in width) glass veins. The host of the meteorite represents a monomict breccia composed of volcanic rock that crystallized &gt; 4.3 Ga ago as a lava flow on the surface of 4 Vesta. The veins formed 3.90 +/- 0.04 Ga ago, probably as a result of frictional melting associated with impact, under conditions of low effective oxygen fugacity and higher sulfur fugacity. The glass contains disordered structural elements characteristic of pyroxene and feldspar, reminiscent of the eucritic target lithology. The unequilibrated pyroxenes of the volcanic host and the pristine character of the glass indicate that this meteoritic material did not experience significant thermal metamorphism after initial crystallization of the lava. Hence, it was not affected by regional metamorphism caused by burial to a significant depth or by long-term contact metamorphism associated with a thick lava flow, large intrusion, or hot layer of impact ejecta. The meteorite resided at a shallow depth (though not at the surface) on 4 Vesta or on one of the vestoids until it was ejected and traveled to Earth, probably with other HED materials that have Ar-36 exposure ages of similar to 13 Ma. These data suggest that the surface of the asteroid 4 Vesta has significant, though probably small, proportions of glass, as well as unequilibrated volcanic rock. Copyright (c) 2005 Elsevier Ltd.</t>
  </si>
  <si>
    <t>Natl Inst Polar Res, Antarctic Meteorite Res Ctr, Itabashi Ku, Tokyo 1738515, Japan; Ibaraki Univ, Dept Mat &amp; Biol Sci, Mito, Ibaraki 3108512, Japan; NASA, Johnson Space Ctr, Astromat Res, Houston, TX 77058 USA; Tokyo Metropolitan Univ, Grad Sch Sci, Dept Chem, Hachioji, Tokyo 1920397, Japan; Tokyo Inst Technol, Dept Earth &amp; Planetary Sci, Tokyo 1528551, Japan</t>
  </si>
  <si>
    <t>Research Organization of Information &amp; Systems (ROIS); National Institute of Polar Research (NIPR) - Japan; Ibaraki University; National Aeronautics &amp; Space Administration (NASA); NASA Johnson Space Center; Tokyo Metropolitan University; Tokyo Institute of Technology</t>
  </si>
  <si>
    <t>Natl Inst Polar Res, Antarctic Meteorite Res Ctr, Itabashi Ku, 1-9-10 Kaga, Tokyo 1738515, Japan.</t>
  </si>
  <si>
    <t>buchanan@nipr.ac.jp</t>
  </si>
  <si>
    <t>Noguchi, Takaaki/IWV-1123-2023; Katayama, Ikuo/A-9611-2011</t>
  </si>
  <si>
    <t>Noguchi, Takaaki/0000-0001-7211-2595; Buchanan, Paul/0000-0003-1648-6079</t>
  </si>
  <si>
    <t>10.1016/j.gca.2004.08.022</t>
  </si>
  <si>
    <t>916EC</t>
  </si>
  <si>
    <t>WOS:000228367200018</t>
  </si>
  <si>
    <t>Waddington, ED; Conway, H; Steig, EJ; Alley, RB; Brook, EJ; Taylor, KC; White, JWC</t>
  </si>
  <si>
    <t>Decoding the dipstick: Thickness of Siple Dome, West Antarctica, at the Last Glacial Maximum</t>
  </si>
  <si>
    <t>Antarctic Ice Sheet; ice cores; ice streams; glaciology; sea level; climate</t>
  </si>
  <si>
    <t>GROUNDING-LINE RETREAT; ROSS EMBAYMENT; ICE-SHEET; TAYLOR-DOME; HOLOCENE; HISTORY; COAST; CORE</t>
  </si>
  <si>
    <t>Ice thickness in West Antarctica at the Last Glacial Maximum (LGM) is poorly known, yet is key information for understanding ice streams and interpreting ice cores. Although trim lines, moraine limits, and exposure-age dating provide geologic constraints on ice thickness near the Transantarctic Mountains and in Marie Byrd Land, lack of exposed bedrock hampers traditional geologic methods in a central, similar to 2 x 10(6) km(2) region. Here we infer ice-sheet thickness changes in the central Ross Sea Embayment by using a transient ice-flow model to find combinations of accumulation-rate and ice-sheet thickness histories that match the depth-age relationship and the measured layer-thickness pattern in the Siple Dome ice core. After we reject unreasonable accumulation-rate histories, the remaining history pairs indicate thinning of 200-400 m since the LGM. Our estimate is lower than previous reconstructions that were constrained by geologic evidence from the Transantaretic Mountains and by marine data from the Ross Sea floor, which indicate that a grounded ice sheet extended to the continental shelf margin during the last glacial period. Low surface elevations in the central Ross Sea Embayment during the LGM do not preclude thicker ice along its boundaries. However, if this grounded ice sheet came over 1000 km from interior West Antarctica, as is usually assumed, then it had very low surface slope, requiring a very slippery bed. Alternatively, the grounded Ross Sea ice might have flowed from the Transantarctic Mountains and western Marie Byrd Land.</t>
  </si>
  <si>
    <t>Univ Washington, Dept Earth &amp; Space Sci, Seattle, WA 98195 USA; Penn State Univ, Geosci &amp; Environm Inst, University Pk, PA 16802 USA; Oregon State Univ, Dept Geosci, Corvallis, OR 97330 USA; Univ Nevada, Desert Res Inst, Reno, NV 89506 USA; Univ Colorado, Inst Arctic &amp; Alpine Res, Boulder, CO 80309 USA</t>
  </si>
  <si>
    <t>University of Washington; University of Washington Seattle; Pennsylvania Commonwealth System of Higher Education (PCSHE); Pennsylvania State University; Pennsylvania State University - University Park; Oregon State University; Nevada System of Higher Education (NSHE); University of Nevada Reno; Desert Research Institute NSHE; University of Colorado System; University of Colorado Boulder</t>
  </si>
  <si>
    <t>Waddington, ED (corresponding author), Univ Washington, Dept Earth &amp; Space Sci, Seattle, WA 98195 USA.</t>
  </si>
  <si>
    <t>Conway, Howard/0000-0003-4634-3474; Taylor, Kendrick/0000-0001-8535-1261; /0000-0002-8191-5549</t>
  </si>
  <si>
    <t>GEOLOGICAL SOC AMERICA, INC</t>
  </si>
  <si>
    <t>10.1130/G21165.1</t>
  </si>
  <si>
    <t>913CE</t>
  </si>
  <si>
    <t>WOS:000228127100011</t>
  </si>
  <si>
    <t>Wendt, A; Dietrich, R; Wendt, J; Fritsche, M; Lukin, V; Yuskevich, A; Kokhanov, A; Senatorov, A; Shibuya, K; Doi, K</t>
  </si>
  <si>
    <t>The response of the subglacial Lake Vostok, Antarctica, to tidal and atmospheric pressure forcing</t>
  </si>
  <si>
    <t>Antarctica; geodesy; GPS; InSAR; inverse barometer effect; Lake Vostok; Tides</t>
  </si>
  <si>
    <t>PETERMANN-GLETSCHER; ICE SHELVES; GREENLAND; TIDES; MODEL; FLOW</t>
  </si>
  <si>
    <t>Lake Vostok is the largest subglacial lake in Antarctica. We show that as a result of its size tidal and atmospheric pressure forcings are large enough to induce vertical displacements of the ice surface above the lake. These effects have been modelled assuming equilibrium tides and an inverse barometer response based on mass conservation. Differences in the tidal potential on the area of the lake result in height changes with amplitudes of a few millimetres for the largest diurnal and semidiurnal tides with maximum values at the southern end of the lake. Air pressure differences above the lake cause a differential inverse barometer effect (BE) with resulting height changes of up to 40 mm on timescales from days to weeks. Both effects could be verified by differential Global Positioning System (GPS) observations in the southern part of the lake during the 2001/2002 and 2002/2003 summer seasons. The measured amplitudes and phases of the main constituents correspond to the respective values of the differential equilibrium tides. ERS-1&amp; 2 tandem interferograms of 1996 were used to analyse the spatial pattern of the surface displacement. For the southern part of the lake, these measurements reveal a bulge with a wide flexure zone of varying amplitude but a similar geometry. A quasi-simultaneous pair of interferograms from the northern and the southern part of the lake respectively, demonstrates surface height changes of opposite sign in both areas. Therefore, it can be concluded that the associated water redistribution as a result of tides and changing atmospheric pressure forms an additional component of the overall water circulation in the lake.</t>
  </si>
  <si>
    <t>Tech Univ Dresden, Inst Planetare Geodasie, D-01062 Dresden, Germany; Russian Antarct Expedit, Arctic &amp; Antarctic Res Inst, St Petersburg 199397, Russia; Aerogeodeziya, St Petersburg 192102, Russia; Natl Inst Polar Res, Polar Res Resources Ctr, Itabashi Ku, Tokyo 1738515, Japan</t>
  </si>
  <si>
    <t>Technische Universitat Dresden; Arctic &amp; Antarctic Research Institute; Research Organization of Information &amp; Systems (ROIS); National Institute of Polar Research (NIPR) - Japan</t>
  </si>
  <si>
    <t>Tech Univ Dresden, Inst Planetare Geodasie, D-01062 Dresden, Germany.</t>
  </si>
  <si>
    <t>awendt@ipg.geo.tu-dresden.de</t>
  </si>
  <si>
    <t>Lukin, Valeriy/N-1147-2015</t>
  </si>
  <si>
    <t>Lukin, Valeriy/0000-0003-1726-7361</t>
  </si>
  <si>
    <t>10.1111/j.1365-246X.2005.02575.x</t>
  </si>
  <si>
    <t>913EG</t>
  </si>
  <si>
    <t>WOS:000228133800005</t>
  </si>
  <si>
    <t>Wentworth, SJ; Gibson, EK; Velbel, MA; McKay, DS</t>
  </si>
  <si>
    <t>Antarctic Dry Valleys and indigenous weathering in Mars meteorites: Implications for water and life on Mars</t>
  </si>
  <si>
    <t>3rd International Conference on Mars Polar Science and Exploration</t>
  </si>
  <si>
    <t>OCT 13-17, 2003</t>
  </si>
  <si>
    <t>Lake Louise, CANADA</t>
  </si>
  <si>
    <t>mars, surface; Mars, climate; meteorites; regoliths</t>
  </si>
  <si>
    <t>MARTIAN METEORITES; AQUEOUS ALTERATION; NEAR-SURFACE; ANALOG; CARBONATE; PRODUCTS; MINERALS; SULFATE; DISSOLUTION; PERMAFROST</t>
  </si>
  <si>
    <t>The Dry Valleys of Antarctica are an excellent analog of the environment at the surface of Mars. Soil formation histories involving slow processes Of sublimation and migration of water-soluble ions in polar desert environments are characteristic of both Mars and the Dry Valleys. At the present time, the environment in the Dry Valleys is probably the most similar to that in the mid-latitudes on Mars although similar conditions may be found in areas of the polar regions during their respective Mars summers. It is thought that Mars is currently in an interglacial period, and that subsurface water ice is sublimating poleward. Because the Mars sublimation zones seem to be the most similar to the Antarctic Dry Valleys, the Dry Valleys-type Mars climate is migrating towards the poles. Mars has likely undergone drastic obliquity changes, which means that the Dry Valleys analog to Mars may be valid for large parts of Mars, including the polar regions, at different times in geologic history. Dry Valleys soils contain traces of silicate alteration products and secondary salts much like those found in Mars meteorites. A martian origin for some of the meteorite secondary phases has been verified previously; it can be based on the presence of shock effects and other features which Could not have formed after the rocks were ejected front Mars, or demonstrable modification of a feature by the passage of the meteorite through Earth's atmosphere (proving the feature to be pre-terrestrial). The martian weathering products provide critical information for deciphering the near-surface history of Mars. Definite martian secondary phases include Ca-carbonate, Ca-sulfate, and M-sulfate. These salts are also found in soils from the Dry Valleys of Antarctica. Results of earlier Wright Valley work are consistent with what is now known about Mars based on meteorite and orbital data. Results from recent and Current Mars missions support this inference. Aqueous processes are active even in permanently frozen Antarctic Dry Valleys soils, and similar processes are probably also occurring on Mars today. especially at the mid-latitudes. Both weathering products and life in Dry Valley,, soils are distributed heterogeneously. Such variations should be taken into account in future Studies of martian soils and also in the search for possible life on Mars. (c) 2004 Elsevier Inc. All rights reserved.</t>
  </si>
  <si>
    <t>Lockheed Martin, Houston, TX 77058 USA; NASA, Lyndon B Johnson Space Ctr, Houston, TX 77058 USA; Michigan State Univ, Dept Geol Sci, E Lansing, MI 48824 USA</t>
  </si>
  <si>
    <t>Lockheed Martin; National Aeronautics &amp; Space Administration (NASA); NASA Johnson Space Center; Michigan State University</t>
  </si>
  <si>
    <t>Lockheed Martin, Mail Code C23,2400 NASA Pkwy, Houston, TX 77058 USA.</t>
  </si>
  <si>
    <t>susan.j.wentworth@jsc.nasa.gov</t>
  </si>
  <si>
    <t>10.1016/j.icarus.2004.08.026</t>
  </si>
  <si>
    <t>914JG</t>
  </si>
  <si>
    <t>WOS:000228223100008</t>
  </si>
  <si>
    <t>Edwards, HGM; Moody, CD; Villar, SEJ; Wynn-Williams, DD</t>
  </si>
  <si>
    <t>Raman spectroscopic detection of key biomarkers of cyanobacteria and lichen symbiosis in extreme Antarctic habitats: Evaluation for Mars Lander missions</t>
  </si>
  <si>
    <t>Raman spectroscopy; Mars; biomolecules; biogeological modification</t>
  </si>
  <si>
    <t>CRYPTOENDOLITHIC MICROBIAL ENVIRONMENT; IN-SITU; MINERAL IDENTIFICATION; ULTRAVIOLET-RADIATION; ROSS DESERT; LIFE; METEORITE; SURFACE; SEARCH</t>
  </si>
  <si>
    <t>With proposals that micro-miniaturised Raman spectrometers could soon be part of a suite of analytical instrumentation on the surface of Mars, it is critically important to examine the spectral information that could be forthcoming from attempts to determine key molecular biosignatures under the hostile conditions of extra-terrestrial planetary exploration. Current approaches include the analysis of genuine martian geological material in the form of the SNC class meteorites, the formulation of simulated martian regoliths and the examination of putative martian terrestrial analogues; the latter provide the basis of this paper in the form of Antarctic extremophile habitats. In particular, specimens of epilithic, chasmolithic and endolithic lichen and cyanobacterial colonies sampled along a progressively worsening transect towards a limits of life situation, beyond which survival of organisms becomes impossible, provide what is arguably the best terrestrial proving-ground for prototype Raman spectrometers for martian exploration. Here, we report the results of experiments on these extant Antarctic extremophile colonies using a range of Raman excitation wavelengths and experimental conditions and also include a compilation of molecular spectral biosignatures, which may be considered as a suitable database for recognition of bioorganic modification of geological strata. (c) 2004 Elsevier Inc. All rights reserved.</t>
  </si>
  <si>
    <t>Univ Bradford, Dept Chem &amp; Forens Sci, Bradford BD7 1DP, W Yorkshire, England; Univ Burgos, Fac Humanidades &amp; Educ, Area Geodinam Interna, Burgos 09001, Spain; British Antarctic Survey, Cambridge CB3 0ET, England</t>
  </si>
  <si>
    <t>University of Bradford; Universidad de Burgos; UK Research &amp; Innovation (UKRI); Natural Environment Research Council (NERC); NERC British Antarctic Survey</t>
  </si>
  <si>
    <t>Univ Bradford, Dept Chem &amp; Forens Sci, Bradford BD7 1DP, W Yorkshire, England.</t>
  </si>
  <si>
    <t>h.g.m.edwards@bradford.ac.uk</t>
  </si>
  <si>
    <t>Jorge-Villar, Susana E./A-8927-2011</t>
  </si>
  <si>
    <t>Jorge-Villar, Susana E./0000-0003-1676-4438</t>
  </si>
  <si>
    <t>10.1016/j.icarus.2004.07.029</t>
  </si>
  <si>
    <t>WOS:000228223100019</t>
  </si>
  <si>
    <t>Christner, BC; Mikucki, JA; Foreman, CM; Denson, J; Priscu, JC</t>
  </si>
  <si>
    <t>Glacial ice cores: A model system for developing extraterrestrial decontamination protocols</t>
  </si>
  <si>
    <t>exobiology; ices; Mars; experimental techniques</t>
  </si>
  <si>
    <t>LAKE VOSTOK; PLANETARY PROTECTION; MAGNETITE CRYSTALS; VIABLE BACTERIA; ANTARCTIC ICE; MARS; WATER; SURFACE; LIFE; MICROORGANISMS</t>
  </si>
  <si>
    <t>Evidence gathered from spacecraft orbiting Mars has shown that water ice exists at both poles and may form a large subsurface reservoir at lower latitudes. The recent exploration of the martian surface by unmanned landers and surface rovers, and the planned missions to eventually return samples to Earth have raised concerns regarding both forward and back contamination. Methods to search for life in these icy environments and adequate protocols to prevent contamination can be tested with earthly analogues. Studies of ice cores on Earth have established past climate changes and geological events, both globally and regionally, but only recently have these results been correlated with the biological materials (i.e., plant fragments, seeds, pollen grains, fungal spores, and microorganisms) that are entrapped and preserved within the ice. The inclusion of biology into ice coring research brings with it a whole new approach towards decontamination. Our investigations on ice from the Vostok core (Antarctica) have shown that the outer portion of the cores have up to 3 and 2 orders of magnitude higher bacterial density and dissolved organic carbon (DOC) than the inner portion of the cores, respectively, as a result of drilling and handling. The extreme gradients that exist between the outer and inner portion of these samples make contamination a very relevant aspect of geomicrobiological investigations with ice cores, particularly when the actual numbers of ambient bacterial cells are low. To address this issue and the inherent concern it raises for the integrity of future investigations with ice core materials from terrestrial and extraterrestrial environments, we employed a procedure to monitor the decontamination process in which ice core surfaces are painted with a solution containing a tracer microorganism, plasmid DNA, and fluorescent dye before sampling. Using this approach, a simple and direct method is proposed to verify the authenticity of geomicrobiological results obtained from ice core materials. Our protocol has important implications for the design of life detection experiments on Mars and the decontamination of samples that will eventually be returned to Earth. (c) 2004 Elsevier Inc. All rights reserved.</t>
  </si>
  <si>
    <t>Montana State Univ, Dept Land Resources &amp; Environm Sci, Bozeman, MT 59717 USA</t>
  </si>
  <si>
    <t>Montana State Univ, Dept Land Resources &amp; Environm Sci, 334 Leon Johnson Hll, Bozeman, MT 59717 USA.</t>
  </si>
  <si>
    <t>jpriscu@montana.edu</t>
  </si>
  <si>
    <t>Foreman, Christine/0000-0003-0230-4692</t>
  </si>
  <si>
    <t>10.1016/j.icarus.2004.10.027</t>
  </si>
  <si>
    <t>WOS:000228223100020</t>
  </si>
  <si>
    <t>Raup, BH; Scambos, TA; Haran, T</t>
  </si>
  <si>
    <t>Topography of streaklines on an antarctic ice shelf from photoclinometry applied to a single advanced land imager (ALI) image</t>
  </si>
  <si>
    <t>Advanced Land Imager (ALI); Earth Observing 1 (EO-1); flow stripes; ice flow; ice shelves; photoclinometry; streaklines</t>
  </si>
  <si>
    <t>DIGITAL ELEVATION MODELS; EAST ANTARCTICA; SYSTEM</t>
  </si>
  <si>
    <t>We investigate the usefulness of the experimental Advanced Land Imager instrument onboard the Earth Observing I satellite and a shape-from-shading technique to study streak-lines (flow stripes) on the Amery Ice Shelf, Antarctica. Local variations in brightness in the image are directly related to surface topography because the snow surface reflectivity is mostly uniform. Image brightness values are combined with sun position and streakline orientation to calculate surface topography to centimeter-level vertical precision. The amplitude of the streaklines is typically 1-2 m, and spacing is on the order of 1 km. The streaklines; show complex along-flow changes in cross-sectional shape that we interpret to be effects from temporal changes in grounding line dynamics and decay of ice topography due to flow. Cross-sectional areas of the streaklines are calculated at various points along flow to investigate morphological evolution. The study area subscene covers a 28 km x 90 km area and covers similar to 350 years of ice flow.</t>
  </si>
  <si>
    <t>Univ Colorado, Natl Snow &amp; Ice Data Ctr, Cooperat Inst Res Environm Sci, Boulder, CO 80309 USA</t>
  </si>
  <si>
    <t>Univ Colorado, Natl Snow &amp; Ice Data Ctr, Cooperat Inst Res Environm Sci, Boulder, CO 80309 USA.</t>
  </si>
  <si>
    <t>braup@nsidc.org</t>
  </si>
  <si>
    <t>Scambos, Ted A/B-1856-2009</t>
  </si>
  <si>
    <t>SCAMBOS, Ted A./0000-0003-4268-6322</t>
  </si>
  <si>
    <t>10.1109/TGRS.2005.843953</t>
  </si>
  <si>
    <t>909TB</t>
  </si>
  <si>
    <t>WOS:000227882500007</t>
  </si>
  <si>
    <t>Hofmann, GE</t>
  </si>
  <si>
    <t>Patterns of Hsp gene expression in ectothermic marine organisms on small to large biogeographic scales</t>
  </si>
  <si>
    <t>INTEGRATIVE AND COMPARATIVE BIOLOGY</t>
  </si>
  <si>
    <t>Symposium on Integrative Biology in Honor of George A Bartholomew held at the Annual Meeting of the Society-for-Integrative-and-Comparative-Biology</t>
  </si>
  <si>
    <t>JAN 05-09, 2004</t>
  </si>
  <si>
    <t>New Orleans, LA</t>
  </si>
  <si>
    <t>HEAT-SHOCK RESPONSE; MOLECULAR CHAPERONE HSC70; CLIMATE-CHANGE; TRANSCRIPTION FACTORS; INTERTIDAL MUSSELS; BODY TEMPERATURES; MYTILUS-TROSSULUS; STRESS-RESPONSE; ANTARCTIC FISH; FACTOR-1 HSF1</t>
  </si>
  <si>
    <t>The goal of my research program is to employ biochemical and molecular techniques to gain ecological insight into the role of temperature in setting species' distribution patterns in the marine environment. Our central focus is the study of the environmental regulation of gene expression, where we are particularly interested in a set of inducible molecular chaperones, the heat-shock proteins (Hsps), and how the expression of these genes varies with the thermal history of organisms in natural populations. The primary study organisms are intertidal invertebrates and marine fish that experience dramatic changes in body temperature on varying temporal and spatial scales. In this review, I present studies that address the variable expression of Hsps, how these genes are differentially regulated in ectothermic animals in response to ecologically relevant temperature conditions, and how such plasticity in gene expression contributes to physiological plasticity in the environment.</t>
  </si>
  <si>
    <t>Univ Calif Santa Barbara, Dept Ecol Evolut &amp; Marine Biol, Santa Barbara, CA 93106 USA</t>
  </si>
  <si>
    <t>University of California System; University of California Santa Barbara</t>
  </si>
  <si>
    <t>Univ Calif Santa Barbara, Dept Ecol Evolut &amp; Marine Biol, Santa Barbara, CA 93106 USA.</t>
  </si>
  <si>
    <t>hofmann@lifesci.ucsb.edu</t>
  </si>
  <si>
    <t>OXFORD UNIV PRESS INC</t>
  </si>
  <si>
    <t>CARY</t>
  </si>
  <si>
    <t>JOURNALS DEPT, 2001 EVANS RD, CARY, NC 27513 USA</t>
  </si>
  <si>
    <t>1540-7063</t>
  </si>
  <si>
    <t>1557-7023</t>
  </si>
  <si>
    <t>INTEGR COMP BIOL</t>
  </si>
  <si>
    <t>Integr. Comp. Biol.</t>
  </si>
  <si>
    <t>10.1093/icb/45.2.247</t>
  </si>
  <si>
    <t>926ZY</t>
  </si>
  <si>
    <t>WOS:000229163400005</t>
  </si>
  <si>
    <t>McClintock, JB; Amsler, CD; Baker, BJ; van Soest, RWM</t>
  </si>
  <si>
    <t>Ecology of Antarctic marine sponges: An overview</t>
  </si>
  <si>
    <t>Symposium on Sponges - New Views of Old Animals held at the Annual Meeting of the Society-for-Integrative-and-Comparative-Biology</t>
  </si>
  <si>
    <t>PREDATORY REEF FISH; CHEMICAL ECOLOGY; HEXACTINELLID SPONGE; BENTHIC COMMUNITIES; CARIBBEAN SPONGES; MCMURDO-SOUND; WEDDELL SEA; DIVERSITY; DEFENSES; TOXICITY</t>
  </si>
  <si>
    <t>Sponges are important components of marine benthic communities of Antarctica. Numbers of species are high, within the lower range for tropical latitudes, similar to those in the Arctic, and comparable or higher than those of temperate marine environments. Many have circumpolar distributions and in some habitats hexactinellids dominate benthic biomass. Antarctic sponge assemblages contribute considerable structural heterogeneity for colonizing epibionts. They also represent a significant source of nutrients to prospective predators, including a suite of spongivorous sea stars whose selective foraging behaviors have important ramifications upon community structure. The highly seasonal plankton blooms that typify the Antarctic continental shelf are paradoxical when considering the planktivorous diets of sponges. Throughout much of the year Antarctic sponges must either exploit alternate sources of nutrition such as dissolved organic carbon or be physiologically adapted to withstand resource constraints. In contrast to predictions that global patterns of predation should select for an inverse correlation between latitude and chemical defenses in marine sponges, such defenses are not uncommon in Antarctic sponges. Some species sequester their defensive metabolites in the outermost layers where they are optimally effective against sea star predation. Secondary metabolites have also been shown to short-circuit molting in sponge-feeding amphipods and prevent fouling by diatoms. Coloration in Antarctic sponges may be the result of relict pigments originally selected for aposematism or UV screens yet conserved because of their defensive properties. This hypothesis is supported by the bioactive properties of pigments examined to date in a suite of common Antarctic sponges.</t>
  </si>
  <si>
    <t>Univ Alabama Birmingham, Dept Biol, Birmingham, AL 35294 USA; Univ S Florida, Dept Chem, Tampa, FL 33620 USA; Univ Amsterdam, Zool Museum, NL-1090 GT Amsterdam, Netherlands</t>
  </si>
  <si>
    <t>University of Alabama System; University of Alabama Birmingham; State University System of Florida; University of South Florida; University of Amsterdam</t>
  </si>
  <si>
    <t>Univ Alabama Birmingham, Dept Biol, Birmingham, AL 35294 USA.</t>
  </si>
  <si>
    <t>mcclinto@uab.edu</t>
  </si>
  <si>
    <t>Amsler, Charles/0000-0002-4843-3759</t>
  </si>
  <si>
    <t>10.1093/icb/45.2.359</t>
  </si>
  <si>
    <t>WOS:000229163400018</t>
  </si>
  <si>
    <t>Goosse, H; Renssen, H</t>
  </si>
  <si>
    <t>A simulated reduction in antarctic sea-ice area since 1750: Implications of the long memory of the ocean</t>
  </si>
  <si>
    <t>sea ice; Southern Ocean; climate change; ice extent trends; climate modelling</t>
  </si>
  <si>
    <t>GLOBAL CLIMATE MODELS; NORTHERN-HEMISPHERE; SOUTHERN-OCEAN; SURFACE TEMPERATURES; ATMOSPHERIC CO2; WHALING RECORDS; VARIABILITY; TRENDS; EXTENT; OSCILLATION</t>
  </si>
  <si>
    <t>Using the three-dimensional coarse-resolution climate model ECBILT-CLIO, 1000-year long ensemble simulations with natural and anthropogenic forcings have been performed to study the long-term variation of the ice cover in the Southern Ocean. Over the last 250 years, the ice area has decreased by about 1 x 10(6) km(2) in its annual mean. A comparison with experiments driven by only natural forcings suggests that this reduction is due to both natural and anthropogenic forcing, the latter playing a larger role than natural forcing over the last 150 years. Despite this contribution from anthropogenic forcing, the simulated ice area at the end of the 20th century is similar to that simulated during the 14th century because of the slow response of the Southern Ocean to radiative forcing. Sensitivity experiments performed with the model show that the model's initial conditions have a large influence on the simulated ice cover and that it is necessary to start simulations at least two centuries before the period of interest in order to remove this influence. Copyright (c) 2005 Royal Meteorological Society.</t>
  </si>
  <si>
    <t>Catholic Univ Louvain, Inst Astron &amp; Geofis G Lemaitre, B-1348 Louvain, Belgium; Free Univ Amsterdam, Fac Earth &amp; Life Sci, NL-1081 BT Amsterdam, Netherlands</t>
  </si>
  <si>
    <t>Universite Catholique Louvain; Vrije Universiteit Amsterdam</t>
  </si>
  <si>
    <t>Catholic Univ Louvain, Inst Astron &amp; Geofis G Lemaitre, Chemin Cyclotron 2, B-1348 Louvain, Belgium.</t>
  </si>
  <si>
    <t>hgs@astr.ucl.ac.be</t>
  </si>
  <si>
    <t>Renssen, Hans/C-9927-2010</t>
  </si>
  <si>
    <t>10.1002/joc.1139</t>
  </si>
  <si>
    <t>920ZM</t>
  </si>
  <si>
    <t>WOS:000228734000002</t>
  </si>
  <si>
    <t>Reusch, DB; Hewitson, BC; Alley, RB</t>
  </si>
  <si>
    <t>Towards ice-core-based synoptic reconstructions of west antarctic climate with artificial neural networks</t>
  </si>
  <si>
    <t>ice cores; synoptic reconstruction; artificial neural networks; self-organizing maps; West Antarctica</t>
  </si>
  <si>
    <t>SELF-ORGANIZING MAPS; SOUTHERN-HEMISPHERE; ECMWF ANALYSES; PRECIPITATION; VARIABILITY; REANALYSIS; SNOW; TEMPERATURE; GREENLAND; CHEMISTRY</t>
  </si>
  <si>
    <t>Ice cores have; in recent decades, produced a wealth of palaeoclimatic insights over widely ranging temporal and spatial scales. Nonetheless, interpretation of ice-core-based climate proxies is still problematic due to a variety of issues unrelated to the quality of the ice-core data. Instead, many of these problems are related to our poor understanding of key transfer functions that link the atmosphere to the ice. This study uses two tools from the field of artificial neural networks (ANNs) to investigate the relationship between the atmosphere and surface records of climate in West Antarctica. The first, self-organizing maps (SOMs), provides an unsupervised classification of variables from the mid-troposphere (700 hPa temperature, geopotential height and specific humidity) into groups of similar synoptic patterns. An SOM-based climatology at annual resolution (to match ice-core data) has been developed for the period 1979-93 based on the European Centre for Medium-Range Weather Forecasts (ECMWF) 15-year reanalysis (ERA-15) dataset. This analysis produced a robust mapping of years to annual-average synoptic conditions as generalized atmospheric patterns or states. Feed-forward ANNs, our second ANN-based tool, were then used to upscale from surface data to the SOM-based classifications, thereby relating the surface sampling of the atmosphere to the large-scale circulation of the mid-troposphere. Two recorders of surface climate were used in this step: automatic weather stations (AWSs) and ice cores. Six AWS sites provided 15 years of near-surface temperature and pressure data. Four ice-core sites provided 40 years of annual accumulation and major ion chemistry. Although the ANN training methodology was properly designed and followed standard principles, limited training data and noise in the ice-core data reduced the effectiveness of the upscaling predictions. Despite these shortcomings, which might be expected to preclude successful analyses, we find that the combined techniques do allow ice-core reconstruction of annual-average synoptic conditions with some skill. We thus consider the ANN-based approach to upscaling to be a useful tool, but one that would benefit from additional training data. Copyright (c) 2005 Royal Meteorological Society.</t>
  </si>
  <si>
    <t>Penn State Univ, Dept Geosci, University Pk, PA 16802 USA; Penn State Univ, EMS Environm Inst, University Pk, PA 16802 USA; Univ Cape Town, Dept Environm &amp; Geog Sci, ZA-7701 Rondebosch, South Africa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</si>
  <si>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Cape Town</t>
  </si>
  <si>
    <t>Penn State Univ, Dept Geosci, University Pk, PA 16802 USA.</t>
  </si>
  <si>
    <t>dbr@geose.psu.edu</t>
  </si>
  <si>
    <t>; Hewitson, Bruce/B-3295-2014</t>
  </si>
  <si>
    <t>Reusch, David/0000-0002-7582-363X; Hewitson, Bruce/0000-0001-7546-4430</t>
  </si>
  <si>
    <t>10.1002/joc.1143</t>
  </si>
  <si>
    <t>WOS:000228734000003</t>
  </si>
  <si>
    <t>Kutschera, W</t>
  </si>
  <si>
    <t>Progress in isotope analysis at ultra-trace level by AMS</t>
  </si>
  <si>
    <t>INTERNATIONAL JOURNAL OF MASS SPECTROMETRY</t>
  </si>
  <si>
    <t>accelerator mass spectrometry; long-lived radioisotope analysis</t>
  </si>
  <si>
    <t>ACCELERATOR MASS-SPECTROMETRY; UNIVERSITY-OF-CALIFORNIA; GAS ION-SOURCE; ANTHROPOGENIC PU-244; RADIOCARBON AMS; ANTARCTIC ICE; C-14 AMS; SEARCH; CA-41; CARBON</t>
  </si>
  <si>
    <t>This paper attempts to convey a flavor of the progress in Accelerator Mass Spectrometry (AMS) since its initiation in 1977. During this period, AMS evolved into the most powerful analytic technique to measure long-lived radioisotopes at natural isotopic abundances, which typically range from 10(-12) to 10(-16). As such, it covers a section of isotope ratio measurements, which is hardly accessible by any other mass spectrometric means. (c) 2004 Elsevier B.V. All rights reserved.</t>
  </si>
  <si>
    <t>Univ Vienna, VERA, Inst Isotopenforsch &amp; Kernphys, A-1090 Vienna, Austria</t>
  </si>
  <si>
    <t>University of Vienna</t>
  </si>
  <si>
    <t>Univ Vienna, VERA, Inst Isotopenforsch &amp; Kernphys, Wahringerstr 17, A-1090 Vienna, Austria.</t>
  </si>
  <si>
    <t>walter.kutschera@univie.ac.at</t>
  </si>
  <si>
    <t>1387-3806</t>
  </si>
  <si>
    <t>1873-2798</t>
  </si>
  <si>
    <t>INT J MASS SPECTROM</t>
  </si>
  <si>
    <t>Int. J. Mass Spectrom.</t>
  </si>
  <si>
    <t>10.1016/j.ijms.2004.10.029</t>
  </si>
  <si>
    <t>Physics, Atomic, Molecular &amp; Chemical; Spectroscopy</t>
  </si>
  <si>
    <t>Physics; Spectroscopy</t>
  </si>
  <si>
    <t>914EK</t>
  </si>
  <si>
    <t>WOS:000228207800005</t>
  </si>
  <si>
    <t>Meinen, CS</t>
  </si>
  <si>
    <t>Temporal sampling: How many sections are needed to quantify the mean transport and structure of a meandering current?</t>
  </si>
  <si>
    <t>ANTARCTIC CIRCUMPOLAR CURRENT; NORTH-ATLANTIC; GULF-STREAM; CURRENT SOUTH; ABSOLUTE VELOCITY; INVERSE MODEL; CIRCULATION; AUSTRALIA; FIELD; 68-DEGREES-W</t>
  </si>
  <si>
    <t>Two years of observations from an array of 16 inverted echo sounders deployed south of Australia near 51 degrees S, 143.5 degrees E are combined with hydrographic observations from the region to estimate the differences in barochnic transport, as well as temperature and velocity structure, that result from trying to estimate the true mean using a limited number of snapshot sections. The results of a Monte Carlo-type simulation suggest that over a 350-km distance, completely spanning the Subantarctic Front (SAF) at most times, a minimum of six temporally independent sections would be required to determine the baroclinic transport mean (surface to 4000 db) of the observed 2-yr period to within an accuracy of 10% when the sections are averaged in either an Eulerian (geographic) or stream coordinates manner. However, even with 10 sections during a 2-yr period the details of the mean velocity and temperature structures obtained can be quite different than the true 2-yr mean structure, regardless of whether the sections are averaged in either Eulerian or stream coordinates. It is estimated that at least 20 independent sections would be required during a 2-yr period in order to determine the baroclinic velocity structure to within an accuracy of 10%, irrespective of whether they are averaged in Eulerian or stream coordinates. Implications for future sainpling strategies and for inverse modeling analyses are discussed.</t>
  </si>
  <si>
    <t>Univ Miami, Cooperat Inst Marine &amp; Atmospher Studies, Miami, FL 33152 USA</t>
  </si>
  <si>
    <t>University of Miami</t>
  </si>
  <si>
    <t>Meinen, CS (corresponding author), NOAA, Atlantic Oceanog &amp; Meteorol Lab, PHOD, 4301 Rickenbacker Causeway, Miami, FL 33149 USA.</t>
  </si>
  <si>
    <t>Christopher.Meinen@noaa.gov</t>
  </si>
  <si>
    <t>Meinen, Christopher/G-1902-2012</t>
  </si>
  <si>
    <t>Meinen, Christopher/0000-0002-8846-6002</t>
  </si>
  <si>
    <t>10.1175/JTECH1714.1</t>
  </si>
  <si>
    <t>928QU</t>
  </si>
  <si>
    <t>WOS:000229287600012</t>
  </si>
  <si>
    <t>MacPhee, RDE</t>
  </si>
  <si>
    <t>'First' appearances in the Cenozoic land-mammal record of the Greater Antilles: significance and comparison with South American and Antarctic records</t>
  </si>
  <si>
    <t>Antarctic Peninsula; Cenozoic; Greater Antilles; historical biogeography; island faunas; primates; Rodentia; South America; Xenarthra</t>
  </si>
  <si>
    <t>NEW-WORLD; PHYLOGENETIC-RELATIONSHIPS; HISTORICAL BIOGEOGRAPHY; PARALOUATTA-VARONAI; TECTONIC EVOLUTION; SEYMOUR-ISLAND; EOCENE; PLATYRRHINE; XENARTHRA; RODENTS</t>
  </si>
  <si>
    <t>Aim Through analysis of fossil records, the aim of this paper is to show that fossil representatives of at least three land-mammal clades (pitheciine atelid primates, heteropsomyine echimyid rodents, and megalonychid phyllophagan xenarthrans) that once lived in the Greater Antilles are as old as, if not older than, 'first' occurrences of these same groups on the South American mainland. Location Greater Antilles, South America, Antarctic Peninsula. Methods Analysis of Cenozoic land-mammal fossil records for the three areas. Results Comparison reveals an interesting similarity to the Tertiary vertebrate palaeontological record for the Antarctic Peninsula (Seymour Island), in the sense that the latter also includes early (Eocene) representatives of some typical 'South American' groups (e.g. meridiungulates, sloths, certain marsupial groups). Conclusions Given how limited the Antillean and Antarctic records are in quantity and quality, it seems unlikely that these 'first' appearances have much bearing on real origins (basal divergences). Rather, it suggests that the fossil basis for interpreting the origin and earliest diversification of 'South American' clades during the latest Cretaceous/early Cenozoic is probably even scantier than generally realized. In particular, the Antillean record strengthens arguments that some crown-group continental lineages are considerably older than fossil evidence currently allows - a point increasingly (if unevenly) supported by molecular studies of many of the same clades.</t>
  </si>
  <si>
    <t>Amer Museum Nat Hist, Div Vertebrate Zool Mammal, New York, NY 10024 USA</t>
  </si>
  <si>
    <t>American Museum of Natural History (AMNH)</t>
  </si>
  <si>
    <t>MacPhee, RDE (corresponding author), Amer Museum Nat Hist, Div Vertebrate Zool Mammal, New York, NY 10024 USA.</t>
  </si>
  <si>
    <t>macphee@amnh.org</t>
  </si>
  <si>
    <t>10.1111/j.1365-2699.2005.01231.x</t>
  </si>
  <si>
    <t>911PX</t>
  </si>
  <si>
    <t>WOS:000228017800001</t>
  </si>
  <si>
    <t>Arun, T; Dhar, A; Emperumal, K; Pathan, BM</t>
  </si>
  <si>
    <t>IMF BY dependence of the extent of substorm westward electrojet</t>
  </si>
  <si>
    <t>JOURNAL OF EARTH SYSTEM SCIENCE</t>
  </si>
  <si>
    <t>interplanetary magnetic field; westward auroral electrojet; substorm; ring current</t>
  </si>
  <si>
    <t>INTERPLANETARY MAGNETIC-FIELD; IONOSPHERIC CONVECTION PATTERN; TRAVELING SURGE; MAGNETOSPHERIC SUBSTORMS; RESPONSE-TIME; SOLAR-WIND; CURRENTS; COMPONENT; DYNAMICS; GEOTAIL</t>
  </si>
  <si>
    <t>In this paper the duskward extension of the westward auroral electrojet is investigated for substorm intervals on the basis of magnetograms recorded at the Indian Antarctic station, Maitri. The database comprises three years from 1998-2000. Based on an initial study of the magnetograms, an arbitrary local time of 2030 MLT is fixed to define the early manifestation of the substorm. westward electrojet. Using this criterion 12 substorms are identified and the possible causes examined. Many of these events are observed to be associated with a moderate to intense ring current. The hourly average of the GSM B-Y-component of the interplanetary magnetic field (IMF) for the hour preceding the substorm onset at Maitri is negative for most of the events. It is suggested that the azimuthal shift of the auroral electrojets in the southern hemisphere resulting from a negative B-Y-component of the IMF influences the extent of the substorm westward electrojet. This finding implies that the IMF may have a role in controlling the longitudinal extent of substorm occurrence.</t>
  </si>
  <si>
    <t>Indian Inst Geomagnetism, Navi Mumbai 410218, India</t>
  </si>
  <si>
    <t>Department of Science &amp; Technology (India); Indian Institute of Geomagnetism (IIG)</t>
  </si>
  <si>
    <t>Arun, T (corresponding author), Indian Inst Geomagnetism, Kalamboli Highway, Navi Mumbai 410218, India.</t>
  </si>
  <si>
    <t>0253-4126</t>
  </si>
  <si>
    <t>J EARTH SYST SCI</t>
  </si>
  <si>
    <t>J. Earth Syst. Sci.</t>
  </si>
  <si>
    <t>10.1007/BF02702019</t>
  </si>
  <si>
    <t>Geosciences, Multidisciplinary; Multidisciplinary Sciences</t>
  </si>
  <si>
    <t>Geology; Science &amp; Technology - Other Topics</t>
  </si>
  <si>
    <t>917YB</t>
  </si>
  <si>
    <t>WOS:000228504100006</t>
  </si>
  <si>
    <t>Bravo, LA; Griffith, M</t>
  </si>
  <si>
    <t>Characterization of antifreeze activity in Antarctic plants</t>
  </si>
  <si>
    <t>JOURNAL OF EXPERIMENTAL BOTANY</t>
  </si>
  <si>
    <t>Antarctic plants; antifreeze activity; apoplastic proteins; cold acclimation; Colobanthus quitensis; Deschampsia antarctica; freezing tolerance; ice</t>
  </si>
  <si>
    <t>VASCULAR PLANTS; PROTEINS; RECRYSTALLIZATION; ICE; IMMUNOLOCALIZATION; PEPTIDES; DEHYDRIN</t>
  </si>
  <si>
    <t>Deschampsia antarctica and Colobanthus quitensis are the only vascular plants to have colonized the Maritime Antarctic, which is characterized by its permanently low temperature and frequent summer frosts. To understand how the plants survive freezing temperatures year-round, antifreeze activity was assayed in apoplastic extracts obtained from both non-acclimated and cold-acclimated Antarctic plants. By observing the shape of ice crystals grown in dilution series of the extracts, it was found that D. antarctica had antifreeze activity, but C. quitensis did not. D. antarctica exhibited antifreeze activity in the non-acclimated state and this activity increased after cold acclimation. The antifreeze activity in D. antarctica was labile to proteolysis and high temperature, active over a wide pH range, and associated with molecules greater than 10 kDa in molecular weight. These results show that D. antarctica produces antifreeze proteins that are secreted into the apoplast. When examined by SDS-PAGE, the apoplastic extracts from cold-acclimated D. antarctica exhibited 13 polypeptides. It is concluded that D. antarctica accumulates AFPs as part of its mechanism of freezing tolerance. Moreover, this is the first plant in which antifreeze activity has been observed to be constitutive.</t>
  </si>
  <si>
    <t>Univ Concepcion, Dept Bot, Fac Ciencias Nat &amp; Oceanog, Concepcion, Chile; Univ Waterloo, Dept Biol, Waterloo, ON N2L 3G1, Canada</t>
  </si>
  <si>
    <t>Universidad de Concepcion; University of Waterloo</t>
  </si>
  <si>
    <t>Univ Concepcion, Dept Bot, Fac Ciencias Nat &amp; Oceanog, Casilla 160-C, Concepcion, Chile.</t>
  </si>
  <si>
    <t>lebravo@udec.cl</t>
  </si>
  <si>
    <t>Bravo, Leon/H-9251-2018; Bravo, León/AAO-8437-2020</t>
  </si>
  <si>
    <t>Bravo, Leon/0000-0003-4705-4842; Bravo, León/0000-0003-4705-4842</t>
  </si>
  <si>
    <t>0022-0957</t>
  </si>
  <si>
    <t>1460-2431</t>
  </si>
  <si>
    <t>J EXP BOT</t>
  </si>
  <si>
    <t>J. Exp. Bot.</t>
  </si>
  <si>
    <t>10.1093/jxb/eri112</t>
  </si>
  <si>
    <t>Plant Sciences</t>
  </si>
  <si>
    <t>911BK</t>
  </si>
  <si>
    <t>WOS:000227975900011</t>
  </si>
  <si>
    <t>Uchimoto, K; Kubokawa, A</t>
  </si>
  <si>
    <t>Form drag caused by topographically forced waves in a barotropic β channel:: Effect of higher mode resonance</t>
  </si>
  <si>
    <t>form drag; barotropic quasi-geostrophic flow; beta plane channel; bottom topography; resonance</t>
  </si>
  <si>
    <t>ANTARCTIC CIRCUMPOLAR CURRENT; MULTIPLE EQUILIBRIA; MOMENTUM BALANCE; SOUTHERN-OCEAN; WIND-DRIVEN; OBSCURANTIST PHYSICS; PLANE CHANNEL; ROSSBY WAVES; FLOW; ATMOSPHERE</t>
  </si>
  <si>
    <t>The relationship between form drag and the zonal mean velocity of steady states is investigated in a very simple system; a barotropic quasi-geostrophic beta channel with sinusoidal topography. When a steady solution is calculated by the modified Marquardt method, keeping the zonal mean velocity constant as a parameter, the characteristic of the solution changes at a phase speed of a wave with a wavenumber higher than that of the bottom topography. For velocities smaller than this critical value, there exists a stable quasi-linear solution similar to the linear solution. For larger velocities, there exist three solutions whose form drag is very large. In addition, the resonant velocity of the mode, whose wavenumber is the same as the bottom topography, has no effect on these solutions. When the quiescent fluid is accelerated by a constant wind stress, acceleration stops around the critical velocity for a wide range of the wind stress. If the wind stress is too large for the acceleration to stop, the zonal current speed continues to increase infinitely. It is implied that the zonal velocity of equilibrium is mainly determined, not by the wind stress, but by the amplitude of the bottom topography and the viscosity coefficient.</t>
  </si>
  <si>
    <t>Hokkaido Univ, Grad Sch Environm Earth Sci, Sapporo, Hokkaido 0600810, Japan</t>
  </si>
  <si>
    <t>Hokkaido University</t>
  </si>
  <si>
    <t>Uchimoto, K (corresponding author), Hokkaido Univ, Inst Low Temperature, Sapporo, Hokkaido 0600819, Japan.</t>
  </si>
  <si>
    <t>uchimoto@lowtem.hokudai.ac.jp</t>
  </si>
  <si>
    <t>10.1007/s10872-005-0032-4</t>
  </si>
  <si>
    <t>902FG</t>
  </si>
  <si>
    <t>WOS:000227339200002</t>
  </si>
  <si>
    <t>Barbini, R; Colao, F; Fantoni, R; Fiorani, L; Okladnikova, IG; Palucci, A</t>
  </si>
  <si>
    <t>Lidar calibrated satellite sensed primary production in the southern ocean</t>
  </si>
  <si>
    <t>JOURNAL OF OPTOELECTRONICS AND ADVANCED MATERIALS</t>
  </si>
  <si>
    <t>remote sensing; lidar; satellite radiometer; chlorophyll; primary productivity</t>
  </si>
  <si>
    <t>SEAWIFS; FLUOROSENSOR; WATERS; MODELS; MODIS; SEA</t>
  </si>
  <si>
    <t>The carbon cycle is among the more important global phenomena affecting the Earth's climate. The Southern Ocean is probably one of the less studied oceanic provinces and a thorough understanding of its role in that natural process requires further study. In this paper, new estimates of the primary production (PP) of Antarctic waters from 1997 to 2003 are provided. They are based on a PP model tuned in Antarctica and on satellite derived chlorophyll-a (Chl-a) concentrations calculated with an original bio-optical algorithm calibrated with lidar measurements carried out in the Southern Ocean. The results presented here indicate that usual PP models applied to standard Chl-a concentrations can underestimate PP up to 50%.</t>
  </si>
  <si>
    <t>ENEA, FIS, LAS, I-00044 Frascati, Italy</t>
  </si>
  <si>
    <t>Italian National Agency New Technical Energy &amp; Sustainable Economics Development</t>
  </si>
  <si>
    <t>ENEA, FIS, LAS, Via Fermi 45, I-00044 Frascati, Italy.</t>
  </si>
  <si>
    <t>fiorani@frascati.enea.it</t>
  </si>
  <si>
    <t>Fiorani, Luca/AAT-8943-2021; Okladnikov, Igor/J-8496-2013</t>
  </si>
  <si>
    <t>PALUCCI, ANTONIO/0009-0006-9442-1544; Okladnikov, Igor/0000-0003-0356-4410; Fiorani, Luca/0000-0001-9696-3124</t>
  </si>
  <si>
    <t>NATL INST OPTOELECTRONICS</t>
  </si>
  <si>
    <t>BUCHAREST-MAGURELE</t>
  </si>
  <si>
    <t>1 ATOMISTILOR ST, PO BOX MG-5, BUCHAREST-MAGURELE 76900, ROMANIA</t>
  </si>
  <si>
    <t>1454-4164</t>
  </si>
  <si>
    <t>1841-7132</t>
  </si>
  <si>
    <t>J OPTOELECTRON ADV M</t>
  </si>
  <si>
    <t>J. Optoelectron. Adv. Mater.</t>
  </si>
  <si>
    <t>Materials Science, Multidisciplinary; Optics; Physics, Applied</t>
  </si>
  <si>
    <t>Materials Science; Optics; Physics</t>
  </si>
  <si>
    <t>921SR</t>
  </si>
  <si>
    <t>WOS:000228785700079</t>
  </si>
  <si>
    <t>Board, WS; Frimmel, HE; Armstrong, RA</t>
  </si>
  <si>
    <t>Pan-African tectonism in the Western Maud Belt:: P-T-t path for high-grade gneisses in the HU Sverdrupfjella, East Antarctica</t>
  </si>
  <si>
    <t>JOURNAL OF PETROLOGY</t>
  </si>
  <si>
    <t>Maud Belt; Pan-African orogeny; geochronology; P-T-t path; East Antarctica</t>
  </si>
  <si>
    <t>GRENVILLE-AGE; TECTONOTHERMAL EVOLUTION; ZIRCON AGES; PRYDZ-BAY; GARNET; LAND; METAMORPHISM; CALIBRATION; BIOTITE; HEIMEFRONTFJELLA</t>
  </si>
  <si>
    <t>Extensive high-grade polydeformed metamorphic provinces surrounding Archaean cratonic nuclei in the East Antarctic Shield record two tectono-thermal episodes in late Mesoproterozoic and late Neoproterozoic-Cambrian times. In Western Dronning Maud Land, the high-grade Mesoproterozoic Maud Belt is juxtaposed against the Archaean Grunehogna Province and has traditionally been interpreted as a Grenvillian mobile belt that was thermally overprinted during the Early Palaeozoic. Integration of new U-Pb sensitive high-resolution ion microprobe and conventional single zircon and monazite age data, and Ar-Ar data on hornblende and biotite, with thermobarometric calculations on rocks from the H.U. Sverdrupfjella, northern Maud Belt, resulted in a more complex P-T-t evolution than previously assumed. A c. 540 Ma monazite, hosted by an upper ampibolite-facies mineral assemblage defining a regionally dominant top-to-NW shear fabric, provides strong evidence for the penetrative deformation in the area being of Pan-African age and not of Grenvillian age as previously reported. Relics of an eclogite-facies garnet-omphacite assemblage within strain-protected mafic boudins indicate that the peak metamorphic conditions recorded by most rocks in the area (T = 687-758 degrees C, P = 9.4-11.3 kbar) were attained subsequent to decompression from P &gt; 12.9 kbar. By analogy with limited U-Pb single zircon age data and on circumstantial textural grounds, this earlier eclogite-facies metamorphism is ascribed to subduction and accretion around 565 Ma. Post-peak metamorphic K-metasomatism under amphibolite-facies conditions is ascribed to the intrusion of post-orogenic granite at c. 480 Ma. The recognition of extensive Pan-African tectonism in the Maud Belt casts doubts on previous Rodinia reconstructions, in which this belt takes a pivotal position between East Antarctica, the Kalahari Craton and Laurentia. Evidence of late Mesoproterozoic high-grade metamorphism during the formation of the Maud Belt exists in the form of c. 1035 Ma zircon overgrowths that are probably related to relics of granulite-facies metamorphism recorded from other parts of the Maud Belt. The polymetamorphic rocks are largely derived from a c. 1140 Ma volcanic arc and 1072 +/- 10 Ma granite.</t>
  </si>
  <si>
    <t>Australian Natl Univ, Res Sch Earth Sci, Canberra, ACT 002, Australia; Univ Cape Town, Dept Geol Sci, ZA-7701 Rondebosch, South Africa</t>
  </si>
  <si>
    <t>Australian National University; University of Cape Town</t>
  </si>
  <si>
    <t>Univ Wurzburg, Inst Mineral &amp; Petrol, D-97074 Wurzburg, Germany.</t>
  </si>
  <si>
    <t>Hartwig.Frimmel@mail.uni-wuerzburg.de</t>
  </si>
  <si>
    <t>Frimmel, Hartwig/R-3324-2019; Armstrong, Richard/AAT-3953-2020</t>
  </si>
  <si>
    <t>Armstrong, Richard/0000-0001-9479-0143; Frimmel, Hartwig/0000-0003-3041-8208</t>
  </si>
  <si>
    <t>0022-3530</t>
  </si>
  <si>
    <t>1460-2415</t>
  </si>
  <si>
    <t>J PETROL</t>
  </si>
  <si>
    <t>J. Petrol.</t>
  </si>
  <si>
    <t>10.1093/petrology/egh093</t>
  </si>
  <si>
    <t>908EL</t>
  </si>
  <si>
    <t>WOS:000227770100001</t>
  </si>
  <si>
    <t>Casamatta, DA; Johansen, JR; Vis, ML; Broadwater, ST</t>
  </si>
  <si>
    <t>Molecular and morphological characterization of ten polar and near-polar strains within the Oscillatoriales (Cyanobacteria)</t>
  </si>
  <si>
    <t>16S rRNA sequence; Arctic; Antarctic; cyanobacteria; Oscillatoriales; phylogeny; systematics</t>
  </si>
  <si>
    <t>RIBOSOMAL-RNA SEQUENCES; BLUE-GREEN-ALGAE; PHYLOGENETIC-RELATIONSHIPS; EVOLUTIONARY RELATIONSHIPS; ROSS-ISLAND; 16S; DNA; DIVERSITY; PURIFICATION; ANTARCTICA</t>
  </si>
  <si>
    <t>An approximately 1400-bp region of the 16S rRNA gene was sequenced for 10 polar or near-polar strains putatively placed in the Oscillatorialean genera Oscillatoria, Phormidium, and Lyngbya obtained from the University of Toronto Culture Collection to assess phylogenetic relationships. The strains were also examined for thylakoid structure and cell division type with TEM as well as traditional morphology with LM. Phylogenetic trees constructed using parsimony, distance, and maximum likelihood methods were similar in topology. If the original epithets applied to the sequenced strains (both polar and those from GenBank) were used, it was clear that taxa were not monophyletic. However, using the revised taxonomic system of Anagnostidis and Komarek, we were able to reassign these strains to their current correct taxa (species, genus, and family). When these assignments were made, it was determined that the molecular sequence data analyses were congruent with morphology and ultrastructure. Nine of the polar strains were found to be new species, and eight were described as such: Arthronema gygaxiana Casamatta et Johansen sp. nov., Pseudanabaena tremula Johansen et Casamatta sp. nov., Leptolyngbya angustata Casamatta et Johansen sp. nov., Phormidium lumbricale Johansen et Casamatta sp. nov., Microcoleus glaciei Johansen et Casamatta sp. nov., Microcoleus rushforthii Johansen et Casamatta sp. nov., Microcoleus antarcticus Casamatta et Johansen sp. nov., Microcoleus acremannii Casamatta et Johansen sp. nov. Some genera (Leptolyngbya and Microcoleus) were clearly not monophyletic and require future revision.</t>
  </si>
  <si>
    <t>Univ N Florida, Dept Biol, Jacksonville, FL 32224 USA; John Carroll Univ, Dept Biol, Cleveland, OH 44118 USA; Ohio Univ, Dept Environm &amp; Plant Biol, Athens, OH 45701 USA; Coll William &amp; Mary, Dept Biol, Williamsburg, VA 23187 USA</t>
  </si>
  <si>
    <t>State University System of Florida; University of North Florida; University System of Ohio; John Carroll University; University System of Ohio; Ohio University; William &amp; Mary</t>
  </si>
  <si>
    <t>Univ N Florida, Dept Biol, Jacksonville, FL 32224 USA.</t>
  </si>
  <si>
    <t>dcasamat@unf.edu</t>
  </si>
  <si>
    <t>Casamatta, Dale/O-4295-2014; Vis, Morgan L/F-1565-2010; Johansen, Jeffrey/F-5616-2011</t>
  </si>
  <si>
    <t>Vis, Morgan/0000-0003-3087-1563; Johansen, Jeffrey/0000-0002-0794-9417</t>
  </si>
  <si>
    <t>10.1111/j.1529-8817.2005.04062.x</t>
  </si>
  <si>
    <t>909KS</t>
  </si>
  <si>
    <t>WOS:000227859400020</t>
  </si>
  <si>
    <t>Miyazaki, K; Iwasaki, T</t>
  </si>
  <si>
    <t>Diagnosis of meridional ozone transport based on mass-weighted isentropic zonal means</t>
  </si>
  <si>
    <t>JOURNAL OF THE ATMOSPHERIC SCIENCES</t>
  </si>
  <si>
    <t>HYBRID VERTICAL COORDINATE; TWO-DIMENSIONAL TRANSPORT; TRACER TRANSPORT; EFFECTIVE DIFFUSIVITY; MIDDLE ATMOSPHERE; FLOW INTERACTIONS; PLANETARY-WAVES; SEASONAL CYCLE; CIRCULATION; STRATOSPHERE</t>
  </si>
  <si>
    <t>A transport equation based on mass-weighted isentropic zonal means applies to the diagnosis for the meridional ozone transport in the troposphere and stratosphere. The mean and eddy ozone fluxes are estimated front the global distributions of the temperature, wind, and ozone. In comparison with the conventional Eulerian mean and transformed Eulerian mean (TEM), the present diagnosis has advantages for the expression of eddy transport terms. The adiabatic eddy flux is separated from the diabatic eddy flux, which is parallel to the isentropic surface. The analysis shows that the eddy flux is almost adiabatic except that it is significantly affected by diabatic effects near the lower troposphere. Another advantage lies in the mean meridional transport. Although it is almost similar to the TEM. significant differences can be found near the Antarctic polar vortex due to nongeostrophic effects. Furthermore, the isentropic diagnosis expresses a strong equatorward flux near the lower boundary. while the TEM hardly does this because of inadequate treatment of the lower-boundary conditions. The life cycle of ozone can be understood through the exact estimation of the transport terms. Although the stratospheric meridional transport is mainly performed by the Brewer-Dobson circulation. the strong poleward eddy ozone flux is caused by planetary wave breaking, especially in the winter hemisphere. In the extratropics, the ozone subsides from the stratosphere to the troposphere by mean downward motions. mainly diffused to the lower latitudes probably due to strong baroclinic waves and effectively lost through chemical processes in the lower troposphere.</t>
  </si>
  <si>
    <t>Tohoku Univ, Grad Sch Sci, Dept Geophys, Aoba Ku, Sendai, Miyagi 9808578, Japan</t>
  </si>
  <si>
    <t>Tohoku University</t>
  </si>
  <si>
    <t>Miyazaki, K (corresponding author), Tohoku Univ, Grad Sch Sci, Dept Geophys, Aoba Ku, Sendai, Miyagi 9808578, Japan.</t>
  </si>
  <si>
    <t>miyazaki@wind.geophys.tohoku.ac.jp</t>
  </si>
  <si>
    <t>Iwasaki, Toshiki/AAE-1601-2019; Miyazaki, Kazuyuki/AAL-1785-2021</t>
  </si>
  <si>
    <t>Iwasaki, Toshiki/0000-0003-2110-0687; Miyazaki, Kazuyuki/0000-0002-1466-4655</t>
  </si>
  <si>
    <t>0022-4928</t>
  </si>
  <si>
    <t>J ATMOS SCI</t>
  </si>
  <si>
    <t>J. Atmos. Sci.</t>
  </si>
  <si>
    <t>10.1175/JAS3394.1</t>
  </si>
  <si>
    <t>918EL</t>
  </si>
  <si>
    <t>WOS:000228525000017</t>
  </si>
  <si>
    <t>Palma, M; Quiroga, E; Gallardo, VA; Arntz, W; Gerdes, D; Schneider, W; Hebbeln, D</t>
  </si>
  <si>
    <t>Macrobenthic animal assemblages of the continental margin off Chile (22° to 42°S)</t>
  </si>
  <si>
    <t>JOURNAL OF THE MARINE BIOLOGICAL ASSOCIATION OF THE UNITED KINGDOM</t>
  </si>
  <si>
    <t>OXYGEN MINIMUM ZONE; EL-NINO; SYSTEM; PERU; SEDIMENTS; HYPOXIA; BENTHOS; SHELF</t>
  </si>
  <si>
    <t>A quantitative study of macrobenthos was carried out on three transects on the shelf and continental slope off Chile (22 degrees to 42 degrees S; frorri 100 to 2000 in water depth) within and beneath the oxygen minimum ;zone (OMZ). Macrobenthos mean densities ranged from 104 to 13808 ind m(-2), with highest values off Concepcion (similar to 36 degrees S), where highest chloroplastic pigment equivalents were also measured. Polychactes were the numerically dominant group in all transects and depths, followed by peracarid crustaceans. Species richness and diversity correlated with observed changes in bottom-water oxygen concentrations and sediment-bound pigments. Our results show that the shelf macrobenthic communities,were negatively affected by low oxygen. The non-metric multidimensional scaling (nMDS) analysis evidenced depth related station groups which may be related to the different environments provided by the water masses involved. Indeed, the depth ranges of stations groups With their specific species inventories coincide quite well with the boundaries of the three important water masses in the region, the Equatorial Subsurface Water (similar to 50 In to similar to 400 m depth), the Antarctic Intermediate Water (similar to 400 to similar to 1200 in depth), and the Pacific Deep Water (&gt; 1200 in depth).</t>
  </si>
  <si>
    <t>Univ Concepcion, Dept Zool, Programo Doctorado Ciencias Biol, Concepcion, Chile; Univ Concepcion, Ctr Invest Oceanog Pacifico SurOriental, Dept Oceanog, Concepcion, Chile; Univ Concepcion, Programo Doctorado Oceanog, Concepcion, Chile; Alfred Wegener Inst Polar &amp; Marine Res, D-27568 Bremerhaven, Germany; Univ Bremen, Geowissensch, D-28334 Bremen, Germany</t>
  </si>
  <si>
    <t>Universidad de Concepcion; Universidad de Concepcion; Universidad de Concepcion; Helmholtz Association; Alfred Wegener Institute, Helmholtz Centre for Polar &amp; Marine Research; University of Bremen</t>
  </si>
  <si>
    <t>Palma, M (corresponding author), Univ Concepcion, Dept Zool, Programo Doctorado Ciencias Biol, Casilla 160-C, Concepcion, Chile.</t>
  </si>
  <si>
    <t>mpalma@udec.cl</t>
  </si>
  <si>
    <t>Hebbeln, Dierk/P-9766-2016</t>
  </si>
  <si>
    <t>Hebbeln, Dierk/0000-0001-5099-6115; Palma-Luengo, Maritza/0000-0001-6704-8728</t>
  </si>
  <si>
    <t>0025-3154</t>
  </si>
  <si>
    <t>J MAR BIOL ASSOC UK</t>
  </si>
  <si>
    <t>J. Mar. Biol. Assoc. U.K.</t>
  </si>
  <si>
    <t>10.1017/S0025315405011112h</t>
  </si>
  <si>
    <t>923QX</t>
  </si>
  <si>
    <t>WOS:000228925500002</t>
  </si>
  <si>
    <t>McMinn, A; Hirawake, T; Hamaoka, T; Hattori, H; Fukuchi, M</t>
  </si>
  <si>
    <t>Contribution of benthic microalgae to ice covered coastal ecosystems in northern Hokkaido, Japan</t>
  </si>
  <si>
    <t>FJORD YOUNG SOUND; SAROMA-KO LAGOON; SEA-ICE; ALGAE; BIOMASS; DIATOMS</t>
  </si>
  <si>
    <t>Benthic microalgal communities usually make a major contribution to the primary production of estuaries and shallow seas. Pulse amplitude modulation (PAM) fluorometry was used to investigate the contribution of benthic microalgae to the primary production of the Okhotsk Sea coast and Saroma Ko Lagoon in northern Hokkaido. In general the benthic communities had a relatively high biomass but low photosynthetic activity. This led to estimates of 29.2% and 64.5% for the benthic contributions for the 9 in and 3 m depth sites at Mombetsu and 13.1% for Saroma Ko. Sea ice algae provided the greatest contribution at Saroma Ko.</t>
  </si>
  <si>
    <t>Univ Tasmania, Inst Antarctic &amp; So Ocean Studies, Hobart, Tas 7001, Australia; Natl Inst Polar Res, Itabashi Ku, Tokyo 1738515, Japan; Mombetsu City Council, Mombetsu, Hokkaido, Japan; Hokkaido Tokai Univ, Minami Ku, Sapporo, Hokkaido 0058601, Japan</t>
  </si>
  <si>
    <t>University of Tasmania; Research Organization of Information &amp; Systems (ROIS); National Institute of Polar Research (NIPR) - Japan; Tokai University</t>
  </si>
  <si>
    <t>Univ Tasmania, Inst Antarctic &amp; So Ocean Studies, Private Bag 252-77, Hobart, Tas 7001, Australia.</t>
  </si>
  <si>
    <t>Andrew.Mcminn@utas.edu.au</t>
  </si>
  <si>
    <t>McMinn, Andrew/A-9910-2008</t>
  </si>
  <si>
    <t>1469-7769</t>
  </si>
  <si>
    <t>10.1017/S0025315405011173h</t>
  </si>
  <si>
    <t>WOS:000228925500008</t>
  </si>
  <si>
    <t>Jackson, GD; Wotherspoon, S; McGrath-Steer, BL</t>
  </si>
  <si>
    <t>Temporal population dynamics in arrow squid Nototodarus gouldi in southern Australian waters</t>
  </si>
  <si>
    <t>DAILY GROWTH INCREMENTS; FINNED SQUID; SEPIOTEUTHIS-AUSTRALIS; STOCK STRUCTURE; CEPHALOPODA; AGE; STATOLITH; TEMPERATURE; OMMASTREPHIDAE; LOLIGINIDAE</t>
  </si>
  <si>
    <t>Nine monthly samples of arrow squid Nototodarus gouldi were obtained off Portland, Australia, during 2001. Statolith age analysis was used to determine growth rates and cohort structure during the study period. The results of statolith increment periodicity experiments were inconclusive due to difficulties in discerning increments in the cultured squids, although the region of the statolith in the maintained squids did increase over time. The maximum age obtained was 360 days, which is consistent with a 1-year life cycle in this species. Squid obtained were &gt; 150 days old and usually &gt; 200 mm mantle length. While there was often a mix of maturity stages for females, the majority of males were mature. Monthly length frequency distributions suggested that there was a complex mixture of cohorts in the samples obtained. Fitting a Normal mixture model to the age frequency distribution suggested that at least four cohorts were present during the period of the study. Growth was modelled with an exponential function with individuals grouped according to hatch season. The rate of growth for seasonal groups of squid was considerably different between males and females. There was no evidence of seasonal differences in growth rates of males. In contrast, the summer hatched females had significantly greater growth rates than winter and spring at P=0.05, and the growth rates of autumn hatched females were found to be significantly different to the winter hatched females at the 0.1 level.</t>
  </si>
  <si>
    <t>Univ Tasmania, Inst Antarctic &amp; So Ocean Studies, Hobart, Tas 7001, Australia; Univ Tasmania, Dept Math &amp; Phys, Hobart, Tas 7001, Australia</t>
  </si>
  <si>
    <t>University of Tasmania; University of Tasmania</t>
  </si>
  <si>
    <t>Jackson, GD (corresponding author), Univ Tasmania, Inst Antarctic &amp; So Ocean Studies, Private Bag 77, Hobart, Tas 7001, Australia.</t>
  </si>
  <si>
    <t>george.jackson@utas.edu.au</t>
  </si>
  <si>
    <t>Wotherspoon, Simon J/B-2390-2013; Jackson, George D/AAI-7315-2021</t>
  </si>
  <si>
    <t>Wotherspoon, Simon J/0000-0002-6947-4445;</t>
  </si>
  <si>
    <t>10.1007/s00227-004-1491-7</t>
  </si>
  <si>
    <t>914MY</t>
  </si>
  <si>
    <t>WOS:000228233100016</t>
  </si>
  <si>
    <t>Schünemann, H; Werner, I</t>
  </si>
  <si>
    <t>Seasonal variations in distribution patterns of sympagic meiofauna in Arctic pack ice</t>
  </si>
  <si>
    <t>ANTARCTIC SEA-ICE; WEDDELL SEA; FRAM STRAIT; BIOMASS; OCEAN; ABUNDANCE; ECOLOGY; COMMUNITIES; TRANSITION; ORGANISMS</t>
  </si>
  <si>
    <t>During two expeditions of the R. V. Polarstern'' to the Arctic Ocean, pack ice and under-ice water samples were collected during two different seasons: late summer ( September 2002) and late winter (March/April 2003). Physical and biological properties of the ice were investigated to explain seasonal differences in species composition, abundance and distribution patterns of sympagic meiofauna ( in this case: heterotrophs &gt; 20 mu m). In winter, the ice near the surface was characterized by extreme physical conditions ( minimum ice temperature: - 22 degrees C, maximum brine salinity: 223, brine volume: &lt;= 5%) and more moderate conditions in summer ( minimum ice temperature: - 5.6 degrees C, maximum brine salinity: 94, most brine volumes: &gt;= 5%). Conditions in the lowermost part of the ice did not differ to a high degree between summer and winter. Chlorophyll a concentrations (chl a) showed significant differences between summer and winter: during winter, concentrations were mostly &lt; 1.0 mu g chl a l(-1), while chl a concentrations of up to 67.4 mu mol l(-1) were measured during summer. The median of depth-integrated chl a concentration in summer was significantly higher than in winter. Integrated abundances of sympagic meiofauna were within the same range for both seasons and varied between 0.6 and 34.1 x 10(3) organisms m(-2) in summer and between 3.7 and 24.8 x 10(3) organisms m(-2) in winter. With regard to species composition, a comparison between the two seasons showed distinct differences: while copepods (42.7%) and rotifers (33.4%) were the most abundant sea-ice meiofaunal taxa during summer, copepod nauplii dominated the community, comprising 92.9% of the fauna, in winter. Low species abundances were found in the under-ice water, indicating that overwintering of the other sympagic organisms did not take place there, either. Therefore, their survival strategy over the polar winter remains unclear.</t>
  </si>
  <si>
    <t>Inst Polar Ecol, D-24148 Kiel, Germany</t>
  </si>
  <si>
    <t>Inst Polar Ecol, Wischhofstr 1-3,Geb 12, D-24148 Kiel, Germany.</t>
  </si>
  <si>
    <t>hschuenemann@ipoe.uni-kiel.de</t>
  </si>
  <si>
    <t>10.1007/s00227-004-1511-7</t>
  </si>
  <si>
    <t>919ST</t>
  </si>
  <si>
    <t>WOS:000228638600005</t>
  </si>
  <si>
    <t>Swadling, KM; Ritz, DA; Nicol, S; Osborn, JE; Gurney, LJ</t>
  </si>
  <si>
    <t>Respiration rate and cost of swimming for Antarctic krill, Euphausia superba, in large groups in the laboratory</t>
  </si>
  <si>
    <t>OXYGEN-CONSUMPTION; ENERGY; DANA; SHRINKAGE; PACIFICA; SPEED</t>
  </si>
  <si>
    <t>Constructing realistic energy budgets for Antarctic krill, Euphausia superba, is hampered by the lack of data on the metabolic costs associated with swimming. In this study respiration rates and pleopod beating rates were measured at six current speeds. Pleopod beating rates increased linearly with current speed, reaching a maximum of 6 beats s(-1) at 17 cm s(-1). There was a concomitant linear increase in respiration rate, from 1.8 mg O-2 g(D)(-1) h(-1) at 3 cm s(-1) to 8.0 mg O-2 g(D)(-1) h(-1) at 17 cm s(-1). The size of the group tested ( 50, 100 and 300 krill) did not have a significant effect on pleopod beating rates or oxygen consumption (ANCOVA, F= 0.264; P&gt; 0.05). The cost of transport reached a maximum of 75 J g(-1) km(-1) at 5 cm s(-1), and then decreased with increasing current speed to 29 J g(-1) km(-1). When considered in light of energy budgets for E. superba, these data indicate that the cost of swimming could account for up to 73% of total daily metabolic expenditure during early summer.</t>
  </si>
  <si>
    <t>Univ Tasmania, Sch Zool, Hobart, Tas 7001, Australia; Australian Antarctic Div, Kingston, Tas 7050, Australia; Univ Tasmania, Antarctic Climate &amp; Ecosyst Cooperat Res Ctr, Hobart, Tas 7001, Australia; Univ Tasmania, Sch Geog &amp; Environm Studies, Hobart, Tas 7001, Australia</t>
  </si>
  <si>
    <t>University of Tasmania; Australian Antarctic Division; Antarctic Climate &amp; Ecosystems Cooperative Research Centre (ACE CRC); University of Tasmania; University of Tasmania</t>
  </si>
  <si>
    <t>Swadling, KM (corresponding author), Univ Tasmania, Sch Zool, Private Bag 5, Hobart, Tas 7001, Australia.</t>
  </si>
  <si>
    <t>k.swadling@utas.edu.au</t>
  </si>
  <si>
    <t>Swadling, Kerrie/0000-0002-7620-841X; Osborn, Jon/0000-0003-2278-3766</t>
  </si>
  <si>
    <t>10.1007/s00227-004-1519-z</t>
  </si>
  <si>
    <t>WOS:000228638600013</t>
  </si>
  <si>
    <t>Anderson, CIH; Brierley, AS; Armstrong, F</t>
  </si>
  <si>
    <t>Spatio-temporal variability in the distribution of epi- and meso-pelagic acoustic backscatter in the Irminger Sea, North Atlantic, with implications for predation on Calanus finmarchicus</t>
  </si>
  <si>
    <t>ANTARCTIC KRILL; TRANS-ATLANTIC; LIFE-CYCLE; DEPTH; OCEAN; OSCILLATION; POPULATIONS; SCATTERING; AVOIDANCE; ECOLOGY</t>
  </si>
  <si>
    <t>The deep scattering layers of the North Atlantic, including the Irminger Sea, contain many predators of the key copepod species Calanus. nmarchicus. Previous seasonally restricted studies have described the deep acoustic scattering layers of the Irminger Sea as 'ubiquitous'. They have shown that the intensity of the acoustic backscatter varies across the region, and so, by implication, the potential predation pressure on C.. nmarchicus also varies spatially. This paper reports observations of the distribution of epipelagic ( 0 - 200 m) and meso-pelagic ( 200 - 1,000 m) acoustic backscatter in the Irminger Sea, made using a scientific echosounder operating at 38 kHz during four seasonal ( winter, spring and summer) cruises. Our study demonstrates that the intensity of the backscatter varies seasonally in regionally distinct ways across the Irminger Sea. The mean acoustic backscatter, both in the upper 800 m and upper 200 m of the water column, varied significantly between the northern, central and southern areas of the central basin ('open ocean'), and within each area between the Greenland shelf slope, open ocean and Mid-Atlantic Ridge subregions. Different patterns of seasonal change in the acoustic backscatter between the upper 800 m and upper 200 m were also seen, indicating both persistent differences in the underlying amount of backscatter in each area, and varying patterns of seasonal increase in the near surface backscatter in the different areas and subregions. These observations could be related to the different oceanographic regimes encountered in each location, and are discussed in terms of their implications for potential predation pressure on C. finmarchicus.</t>
  </si>
  <si>
    <t>Univ St Andrews, Gatty Marine Lab, St Andrews KY16 8LB, Fife, Scotland; FRS Marine Lab, Aberdeen AB11 9DB, Scotland</t>
  </si>
  <si>
    <t>University of St Andrews</t>
  </si>
  <si>
    <t>Univ St Andrews, Gatty Marine Lab, St Andrews KY16 8LB, Fife, Scotland.</t>
  </si>
  <si>
    <t>ciha@st-andrews.ac.uk</t>
  </si>
  <si>
    <t>Brierley, Andrew/G-8019-2011</t>
  </si>
  <si>
    <t>Brierley, Andrew/0000-0002-6438-6892</t>
  </si>
  <si>
    <t>10.1007/s00227-004-1510-8</t>
  </si>
  <si>
    <t>WOS:000228638600014</t>
  </si>
  <si>
    <t>Bowden, DA</t>
  </si>
  <si>
    <t>Quantitative characterization of shallow marine benthic assemblages at Ryder Bay, Adelaide Island, Antarctica</t>
  </si>
  <si>
    <t>SUBLITTORAL EPIFAUNAL COMMUNITIES; URCHIN CENTROSTEPHANUS-RODGERSII; ICE-FOOT ZONE; SEA-URCHIN; SIGNY ISLAND; ENCRUSTING COMMUNITIES; STERECHINUS-NEUMAYERI; SPATIAL PATTERN; EASTERN CANADA; HARD SUBSTRATA</t>
  </si>
  <si>
    <t>Non-destructive photographic techniques are valuable for surveying benthic epifauna in sensitive areas. Inherent in these techniques, however, are selectivity biases related to the scale at which surveys are conducted. Such biases have not been addressed for surveys of marine benthos. The present study surveyed epifaunal assemblages at two depths ( 8 m and 20 m) and three locations close to Rothera Point, Adelaide Island, Antarctica. Two scales of photographic sampling were employed in order to encompass a broad range of taxon sizes and distributions, and their parallel use allowed qualitative and quantitative comparisons to be made between results from each scale. An additional physical sampling element was incorporated to assess sessile cryptic assemblages. A total of 79 faunal taxa from 10 phyla, together with 6 algal taxa, were recorded in the survey. Echinoderms were the most speciose group at both photographic scales, whereas cryptic assemblages were dominated by bryozoans. There were clear resolution- related differences between scales but all three methods revealed pronounced differences in assemblages by depth and location. Assemblages at both depths were notable for consistently high densities ( similar to 100 individuals m(-2)) of the regular echinoid Sterechinus neumayeri, and at 8 m for high densities ( similar to 100 individuals m(-2)) of the limpet Nacella concinna. The results emphasise the general requirement for sampling methodologies to be matched to the size spectra of the organisms under study and, more specifically, highlight the need for studies to assess the relative importance of biotic and physical factors in structuring the Antarctic benthos.</t>
  </si>
  <si>
    <t>dabo@bas.ac.uk</t>
  </si>
  <si>
    <t>10.1007/s00227-004-1526-0</t>
  </si>
  <si>
    <t>WOS:000228638600020</t>
  </si>
  <si>
    <t>Aboim, MA; Menezes, GM; Schlitt, T; Rogers, AD</t>
  </si>
  <si>
    <t>Genetic structure and history of populations of the deep-sea fish Helicolenus dactylopterus (Delaroche, 1809) inferred from mtDNA sequence analysis</t>
  </si>
  <si>
    <t>colonization; expansion; Helicolenus dactylopterus; mtDNA; North Atlantic; population structure</t>
  </si>
  <si>
    <t>COD GADUS-MORHUA; LONG-TERM CHANGE; NORTHEAST ATLANTIC; CONTINENTAL-SLOPE; CONTROL REGION; TELEOSTEI; PHYLOGEOGRAPHY; SCORPAENIDAE; EVOLUTION; PATTERNS</t>
  </si>
  <si>
    <t>Helicolenus dactylopterus is an Atlantic benthopelagic fish species inhabiting high-energy habitats on continental slopes, seamounts and islands. Partial sequences of the mitochondrial control region (D-loop) and cytochrome b (cyt b) were used to test the hypothesis that H. dactylopterus disperses between continental margin, island and seamount habitats on intraregional, regional and oceanic scales in the North Atlantic. Individuals were collected from five different geographical areas: Azores, Madeira, Portugal (Peniche), Cape Verde and the northwest Atlantic. D-loop (415 bp) and cyt b (423 bp) regions were partially sequenced for 208 and 212 individuals, respectively. Analysis of variation among mitochondrial DNA sequences based on pairwise F-statistics and AMOVA demonstrated marked genetic differentiation between populations in different geographical regions specifically the Mid-Atlantic Ridge (Azores)/northeast Atlantic (Portugal, Madeira) compared to populations around the Cape Verde Islands and in the northwest Atlantic. Some evidence of intraregional genetic differentiation between populations was found. Minimum-spanning network analysis revealed star-shaped patterns suggesting that populations had undergone expansion following bottlenecks and/or they have been colonized by jump dispersal events across large geographical distances along pathways of major ocean currents. Mismatch distribution analysis indicated that Azores and northwest Atlantic populations fitted a model of historical population expansion following a bottleneck/founder event estimated to be between 0.64 and 1.2 million years ago (Ma).</t>
  </si>
  <si>
    <t>Univ Southampton, Southampton Oceanog Ctr, Sch Ocean &amp; Earth Sci, Southampton SO14 3ZH, Hants, England; Univ Acores, Dept Oceanog &amp; Pescas, P-9900 Horta, Acores, Portugal; British Antarctic Survey, NERC, Cambridge CB3 0ET, England</t>
  </si>
  <si>
    <t>University of Southampton; NERC National Oceanography Centre; Universidade dos Acores; UK Research &amp; Innovation (UKRI); Natural Environment Research Council (NERC); NERC British Antarctic Survey</t>
  </si>
  <si>
    <t>Univ Southampton, Southampton Oceanog Ctr, Sch Ocean &amp; Earth Sci, European Way, Southampton SO14 3ZH, Hants, England.</t>
  </si>
  <si>
    <t>maa1@soc.soton.ac.uk</t>
  </si>
  <si>
    <t>Menezes, Gui M/HMV-5797-2023; Schlitt, Thomas/GWQ-8928-2022; Schlitt, Thomas/F-2123-2010; Menezes, Gui M./A-3956-2009</t>
  </si>
  <si>
    <t>Menezes, Gui M/0000-0003-0781-4579; Schlitt, Thomas/0000-0002-0508-3971; Rogers, Alex David/0000-0002-4864-2980</t>
  </si>
  <si>
    <t>1365-294X</t>
  </si>
  <si>
    <t>10.1111/j.1365-294X.2005.02518.x</t>
  </si>
  <si>
    <t>913UN</t>
  </si>
  <si>
    <t>WOS:000228179200007</t>
  </si>
  <si>
    <t>Bridge, PD; Clark, MS; Pearce, DA</t>
  </si>
  <si>
    <t>A new species of Paecilomyces isolated from the Antarctic springtail Cryptopygus antarcticus</t>
  </si>
  <si>
    <t>MYCOTAXON</t>
  </si>
  <si>
    <t>entomogenous; Antarctica; Collembola; molecular; ribosomal DNA</t>
  </si>
  <si>
    <t>BEAUVERIA-BASSIANA; FUNGI; HOST; COLLEMBOLANS; HYPHOMYCETE; SPECIFICITY; CORDYCEPS; COMMUNITY</t>
  </si>
  <si>
    <t>A monophialidic species of Paecilomyces was isolated from the Antarctic springtail Cryptopygus antarcticus in the peninsular Antarctic. The fungus emerged through the carapace of dead arthropods during incubation at 4 degrees C, and produced colonies on agar media at both 4 and 17 degrees C. The fungus was morphologically similar to a number of existing monophialidic species of Paecilomyces, but differed in colony pigmentation, the size of phialides and conidial features. Analysis of the ribosomal DNA internally transcribed spacer (ITS) and 18s subunit sequences showed the fungus to be distinct from other Paecilomyces species, and suggested a close relationship with Cordyceps species. The new species Paecilomyces antarcticus is described.</t>
  </si>
  <si>
    <t>pdbr@bas.ac.uk</t>
  </si>
  <si>
    <t>Clark, Melody/D-7371-2014</t>
  </si>
  <si>
    <t>Clark, Melody/0000-0002-3442-3824; Pearce, David/0000-0001-5292-4596</t>
  </si>
  <si>
    <t>MYCOTAXON LTD</t>
  </si>
  <si>
    <t>ITHACA</t>
  </si>
  <si>
    <t>PO BOX 264, ITHACA, NY 14851-0264 USA</t>
  </si>
  <si>
    <t>0093-4666</t>
  </si>
  <si>
    <t>Mycotaxon</t>
  </si>
  <si>
    <t>APR-JUN</t>
  </si>
  <si>
    <t>Mycology</t>
  </si>
  <si>
    <t>945YF</t>
  </si>
  <si>
    <t>WOS:000230538200020</t>
  </si>
  <si>
    <t>As the Antarctic ice pack recedes, a fragile ecosystem hangs in the balance</t>
  </si>
  <si>
    <t>SEA-ICE; KRILL</t>
  </si>
  <si>
    <t>Publ Lib Sci, San Francisco, CA USA</t>
  </si>
  <si>
    <t>Gross, L (corresponding author), Publ Lib Sci, San Francisco, CA USA.</t>
  </si>
  <si>
    <t>lgross@plos.org</t>
  </si>
  <si>
    <t>185 BERRY ST, STE 1300, SAN FRANCISCO, CA 94107 USA</t>
  </si>
  <si>
    <t>1544-9173</t>
  </si>
  <si>
    <t>e127</t>
  </si>
  <si>
    <t>10.1371/journal.pbio.0030127</t>
  </si>
  <si>
    <t>915EF</t>
  </si>
  <si>
    <t>gold, Green Submitted, Green Accepted, Green Published</t>
  </si>
  <si>
    <t>WOS:000228279900002</t>
  </si>
  <si>
    <t>Peck, LS; Clark, MS; Clarke, A; Cockell, CS; Convey, P; Detrich, HW; Fraser, KPP; Johnston, IA; Methe, BA; Murray, AE; Römisch, K; Rogers, AD</t>
  </si>
  <si>
    <t>Genomics:: applications to Antarctic ecosystems</t>
  </si>
  <si>
    <t>AMINO-ACID-SEQUENCE; CLIMATE-CHANGE; GENE-EXPRESSION; SOUTHERN-OCEAN; A(4)-LACTATE DEHYDROGENASES; CHAENOCEPHALUS-ACERATUS; NOTOTHENIOID FISHES; PLANKTONIC ARCHAEA; ADAPTIVE RADIATION; COLD ADAPTATION</t>
  </si>
  <si>
    <t>Biological research in Antarctica has made considerable progress in science over recent decades. As little as 50 years ago, there was scant knowledge even of the species inhabiting the region. Since then, understanding has developed rapidly, across diverse disciplines including physiology, biochemistry, ecology and biogeography. Some dramatic global-scale discoveries and advances have been made, including the characterisation of antifreeze proteins from notothenioid fish and the finding that some fish lack a heat shock response, the identification of microbial communities living within the surface layers of rocks and description of the simplest faunal communities known, the identification that possibly the fastest environmental and ecological change on earth is occurring in Antarctic lakes, and that the biodiversity of the Southern Ocean is much greater than previously thought. Findings such as these have made biology in cold extreme environments one of the most stimulating areas for research in recent decades. Now, the advent and widespread applicability of the novel genomic technologies promise to move us into a period of equally, or possibly even more, rapid advance. At present, genomic information on Antarctic species is limited mainly to a number of fish species and microbes. However, an increasing number of Antarctic genomics projects are being funded and will significantly increase the amount of molecular information available on a much wider range of species in the near future. Hence it is timely to review progress so far in the use of genomic methods in Antarctic research and identify exciting prospects for dramatic future advances.</t>
  </si>
  <si>
    <t>British Antarctic Survey, NERC, Cambridge CB3 0ET, England; Northeastern Univ, Dept Biol, Boston, MA 02115 USA; Univ St Andrews, Gatty Marine Lab, St Andrews KY16 8LB, Fife, Scotland; TIGR, Rockville, MD 20850 USA; Desert Res Inst, Reno, NV 89512 USA; Univ Cambridge, CIMR, Cambridge CB2 2XY, England; Univ Cambridge, Dept Clin Biochem, Cambridge CB2 2XY, England</t>
  </si>
  <si>
    <t>UK Research &amp; Innovation (UKRI); Natural Environment Research Council (NERC); NERC British Antarctic Survey; Northeastern University; University of St Andrews; J. Craig Venter Institute; Nevada System of Higher Education (NSHE); Desert Research Institute NSHE; University of Cambridge; University of Cambridge</t>
  </si>
  <si>
    <t>Johnston, Ian A/D-6592-2013; Römisch, Karin/AAO-1210-2021; Johnston, Ian A./AAE-2044-2019; Convey, Peter/AAV-5728-2020; Clark, Melody/D-7371-2014</t>
  </si>
  <si>
    <t>Römisch, Karin/0000-0003-0415-6558; Convey, Peter/0000-0001-8497-9903; Clark, Melody/0000-0002-3442-3824; Fraser, Keiron/0000-0001-5491-8376; Rogers, Alex David/0000-0002-4864-2980</t>
  </si>
  <si>
    <t>10.1007/s00300-004-0671-8</t>
  </si>
  <si>
    <t>914NO</t>
  </si>
  <si>
    <t>WOS:000228234800001</t>
  </si>
  <si>
    <t>Oliveri, D; Candiani, S; Parodi, M; Bertini, E; Pestarino, M</t>
  </si>
  <si>
    <t>A serotonergic system in the brain of the Antarctic fish, Trematomus bernacchii</t>
  </si>
  <si>
    <t>CENTRAL-NERVOUS-SYSTEM; GONADOTROPIN-RELEASING-HORMONE; IMMUNOHISTOCHEMICAL DEMONSTRATION; IMMUNOCYTOCHEMICAL LOCALIZATION; TYROSINE-HYDROXYLASE; IMMUNOREACTIVE CELLS; PITUITARY-GLAND; NEURON SYSTEM; DIENCEPHALON; GOLDFISH</t>
  </si>
  <si>
    <t>The immunohistochemical distribution of serotonin-containing nerve fibres and cells has been described in the brain of the Antarctic fish, Trematomus bernacchii. The largest serotonergic system was associated with the diencephalic and rhombencephalic ventricles. In particular, serotonin-positive cells have been found in the lateral recess and neuropile zone of the diencephalic ventricle, where we have identified the serotonergic portion of the paraventricular organ. Numerous serotonin cells were localized in the dorsal nucleus of the raphe, the dorsal tegmental nucleus and the central gray. Two large cell groups, arranged in a pair of well-defined columns and connecting the central gray with the dorsal reticular formation, were immunostained in the region of the trigeminal nuclei. In addition, few positive cells have been found in the preoptic area and the cerebellar valvula, and few serotonergic nerve fibres, probably belonging to the lateral lemniscus, have been identified. The distribution of serotonin elements in the brain of T. bernacchii has been compared with that described in other fish, where it showed some modifications in the immunoreactive pattern. Finally, the lack of a serotonergic system at the level of the reticular superior formation has been reported; however, it was not possible to rule out a phylogenetic or environmental explanation.</t>
  </si>
  <si>
    <t>Univ Genoa, Dipartimento Biol, I-16132 Genoa, Italy</t>
  </si>
  <si>
    <t>Univ Genoa, Dipartimento Biol, Viale Benedetto 15, I-16132 Genoa, Italy.</t>
  </si>
  <si>
    <t>pesta@unige.it</t>
  </si>
  <si>
    <t>Parodi, Maurizio Battaglia/K-7876-2016; Pestarino, Mario/AAN-8128-2021; Pestarino, Mario/B-9062-2011; Candiani, Simona/P-8640-2014</t>
  </si>
  <si>
    <t>Pestarino, Mario/0000-0003-1681-8950; Candiani, Simona/0000-0002-4453-5475</t>
  </si>
  <si>
    <t>10.1007/s00300-004-0706-1</t>
  </si>
  <si>
    <t>WOS:000228234800002</t>
  </si>
  <si>
    <t>Passos, FD; Domaneschi, O; Sartori, AF</t>
  </si>
  <si>
    <t>Biology and functional morphology of the pallial organs of the Antarctic bivalve Mysella charcoti (Lamy, 1906) (Galeommatoidea: Lasaeidae)</t>
  </si>
  <si>
    <t>KING-GEORGE-ISLAND; SOUTH-SHETLAND-ISLANDS; MARTEL INLET; CILIARY MECHANISMS; NEARSHORE ZONE; ADMIRALTY BAY; COMMENSAL; LAMELLIBRANCHS; REPRODUCTION; CRUSTACEA</t>
  </si>
  <si>
    <t>Mysella charcoti is an Antarctic lasaeid bivalve and the most frequently encountered mollusc in Admiralty Bay, King George Island, South Shetlands. The behaviour of the species in aquaria, combined with analyses of the gross and microscopic morphologies and functioning of the organs in the mantle cavity of living and preserved specimens have allowed an understanding of important aspects of its biology. The role of the foot and its ciliature during the processes of dislodgement and burrowing within the sediment are described. The species is a free-living, shallow-burrower, with a predominantly deposit-feeding habit and derives part of its food from the labile settled organic deposits carried into the mantle cavity by the anterior-posterior current of water. Pedal sweep-feeding was not detected. M. charcoti is the first known lasaeid with ctenidia formed of the descending lamellae of the inner demibranchs only, a feature probably related to its highly specialised brooding habit.</t>
  </si>
  <si>
    <t>Univ Sao Paulo, Inst Biociencias, Dept Zool, BR-05422970 Sao Paulo, SP, Brazil</t>
  </si>
  <si>
    <t>Universidade de Sao Paulo</t>
  </si>
  <si>
    <t>Univ Sao Paulo, Inst Biociencias, Dept Zool, Caixa Postal 11461, BR-05422970 Sao Paulo, SP, Brazil.</t>
  </si>
  <si>
    <t>flaviodp@ib.usp.br</t>
  </si>
  <si>
    <t>Passos, Flávio Dias/AAG-5430-2020; Passos, Flávio Dias/D-6679-2012</t>
  </si>
  <si>
    <t>Passos, Flávio Dias/0000-0002-8193-9874; Sartori, Andre/0000-0003-0682-1646</t>
  </si>
  <si>
    <t>10.1007/s00300-004-0702-5</t>
  </si>
  <si>
    <t>WOS:000228234800003</t>
  </si>
  <si>
    <t>Varpe, O; Tveraa, T</t>
  </si>
  <si>
    <t>Chick survival in relation to nest site: is the Antarctic petrel hiding from its predator?</t>
  </si>
  <si>
    <t>CONSPECIFIC REPRODUCTIVE SUCCESS; KITTIWAKE RISSA-TRIDACTYLA; RAZORBILL ALCA-TORDA; BREEDING SUCCESS; THALASSOICA-ANTARCTICA; HABITAT SELECTION; FULMARUS-GLACIALIS; CHINSTRAP PENGUIN; HATCHING DATE; BODY-MASS</t>
  </si>
  <si>
    <t>In birds, the characteristics of the nest site may affect reproductive success. We found that shelter is an important characteristic of the Antarctic petrel (Thalassoica antarctica) nests because shelter prevents chick predation. However, the benefit of shelter was counter-vailed by melt water which mainly entered well-sheltered nests. Chick survival was monitored until the chick was left unattended for the first time. Late-hatched chicks had a higher survival probability than early-hatched chicks, possibly because late hatchers swamp the predator, the south polar skua (Catharacta maccormicki). Poorly sheltered nests tended to be occupied by parents with low body mass and late-hatched eggs. The results suggest that both shelter per se and parental characteristics may explain the relationship between predation risk and shelter. We need experiments to study the influence of nest site on reproductive success, and we need to map the frequency of melt water as a cause of reproductive failure.</t>
  </si>
  <si>
    <t>Norwegian Inst Nat Res, Dept Arctic Ecol, Polar Environm Ctr, N-9296 Tromso, Norway; Univ Tromso, Dept Biol, N-9037 Tromso, Norway</t>
  </si>
  <si>
    <t>Norwegian Institute Nature Research; UiT The Arctic University of Tromso</t>
  </si>
  <si>
    <t>Varpe, O (corresponding author), Univ Bergen, Dept Biol, N-5020 Bergen, Norway.</t>
  </si>
  <si>
    <t>Oystein.Varpe@bio.uib.no</t>
  </si>
  <si>
    <t>Varpe, Øystein/B-9693-2008</t>
  </si>
  <si>
    <t>Varpe, Øystein/0000-0002-5895-6983</t>
  </si>
  <si>
    <t>10.1007/s00300-004-0695-0</t>
  </si>
  <si>
    <t>WOS:000228234800005</t>
  </si>
  <si>
    <t>Bell, CM; Burton, HR; Lea, MA; Hindell, MA</t>
  </si>
  <si>
    <t>Growth of female southern elephant seals Mirounga leonina at Macquarie Island</t>
  </si>
  <si>
    <t>DECLINING POPULATION; AGE-DETERMINATION; BODY-SIZE; PHOCA-GROENLANDICA; WEANING MASS; PINNIPEDS; ACCURACY; PATTERNS; CEMENTUM; BEHAVIOR</t>
  </si>
  <si>
    <t>Body growth of 137 female southern elephant seals (Mirounga leonina) over 1-year of age was investigated at subantarctic Macquarie Island. An asymptotic straight line, snout-tail body length of 2.57 +/- 0.03 m was estimated to be attained at 9-years of age, using a three-parameter Gompertz equation. A significant increase of approximately 0.1 m (5%) in mean body length of females between 1 and 10 years of age was estimated to have occurred between the 1950-1960s and 1990s at Macquarie Island. This is consistent with a reduction in both the rate of population decline and the age of onset of sexual maturity. Age determination using dental cementum layers and the importance of standardised measurements in pimped growth studies are discussed.</t>
  </si>
  <si>
    <t>Dept Primary Ind Water &amp; Environm, Newtown, Tas 7008, Australia; Univ Tasmania, Sch Zool, Antarctic Wildlife Res Unit, Hobart, Tas 7001, Australia; Australian Antarctic Div, Kingston, Tas 7050, Australia</t>
  </si>
  <si>
    <t>Bell, CM (corresponding author), Dept Primary Ind Water &amp; Environm, 13 St Johns Ave, Newtown, Tas 7008, Australia.</t>
  </si>
  <si>
    <t>Cameron.Bell@dpiwe.tas.gov.au</t>
  </si>
  <si>
    <t>Hindell, Mark A/C-8368-2013; Hindell, Mark A/K-1131-2013; Lea, Mary-Anne/E-9054-2013</t>
  </si>
  <si>
    <t>Lea, Mary-Anne/0000-0001-8318-9299; Hindell, Mark/0000-0002-7823-7185</t>
  </si>
  <si>
    <t>10.1007/s00300-004-0694-1</t>
  </si>
  <si>
    <t>WOS:000228234800006</t>
  </si>
  <si>
    <t>Murray, C</t>
  </si>
  <si>
    <t>Mapping terra incognita</t>
  </si>
  <si>
    <t>The theorizing of a southern continent for more than two millennia before the discovery of Antarctica and its long representation in maps are phenomena unparalleled in the history of geography and are well known. However, the epistemological implications of the mapping of this non-existent place have received little consideration. After preliminary remarks about present-day remote imaging of Antarctica and limits to the completeness of all mapping and knowledge, the article discusses the representation of the southern Terra Incognita in examples of mediaeval and Renaissance maps. It is argued that filling in blank spaces both reflected a yearning for complete knowledge and provided an opportunity for non-geographical discourse that is missing in maps today.</t>
  </si>
  <si>
    <t>Univ Tasmania, Inst Antarctic &amp; So Ocean Studies, Hobart, Tas 7001, Australia</t>
  </si>
  <si>
    <t>Murray, C (corresponding author), Univ Tasmania, Inst Antarctic &amp; So Ocean Studies, Private Bag 77, Hobart, Tas 7001, Australia.</t>
  </si>
  <si>
    <t>1475-3057</t>
  </si>
  <si>
    <t>10.1017/S0032247405004249</t>
  </si>
  <si>
    <t>938OZ</t>
  </si>
  <si>
    <t>WOS:000230014000002</t>
  </si>
  <si>
    <t>Tepper, R; Haward, M</t>
  </si>
  <si>
    <t>The development of Malaysia's position on Antarctica: 1982 to 2004</t>
  </si>
  <si>
    <t>This paper examines the development of Malaysia's position on the 'Question of Antarctica' and its relationship to the Antarctic Treaty System (ATS). Malaysia's challenges to, and criticisms of, the Antarctic Treaty Consultative Par-ties (ATCPs) are mapped from 1982 to 2004, indicating a shift from challenging the ATS to engagement with the ATCPs. The paper highlights how Malaysia's position on the 'Question of Antarctica' reflected a mix between domestic political concerns and its international and regional interests. The mix between domestic and international interests is reflected in the ongoing involvement of Malaysian Prime Minister Mahathir bin Mohamad, including his retirement in 2003, in shaping Malaysia's position, from initiating the challenge to the ATS in 1982 to recommending that Malaysia join the ATS in 2004. Mahathir's domestic agenda, most notably through Malaysia's 'Vision 2020' development program is identified as providing an impetus for change, increasing Malaysian scientific interest in Antarctica and the Southern Ocean.</t>
  </si>
  <si>
    <t>Univ Tasmania, Inst Antarctic &amp; So Ocean Studies, Hobart, Tas 7001, Australia; Univ Tasmania, Sch Govt, Hobart, Tas 7001, Australia</t>
  </si>
  <si>
    <t>Univ Tasmania, Inst Antarctic &amp; So Ocean Studies, Private Bag 22, Hobart, Tas 7001, Australia.</t>
  </si>
  <si>
    <t>Haward, Marcus/G-3369-2014</t>
  </si>
  <si>
    <t>Haward, Marcus/0000-0003-4775-0864</t>
  </si>
  <si>
    <t>10.1017/S0032247405004262</t>
  </si>
  <si>
    <t>WOS:000230014000003</t>
  </si>
  <si>
    <t>Erskine, AB; Kjær, KG</t>
  </si>
  <si>
    <t>The polar ship Scotia</t>
  </si>
  <si>
    <t>The ship that the oceanographer Dr William Speirs Bruce used on the Scottish National Antarctic Expedition, 1902-04, was originally a sealer named Hekla, built in Norway in 1872. In 1889 the Norwegian skipper Ragnvald Knudsen explored the northeast coast of Greenland between latitudes 74 degrees and 75 degrees, and in 1891-92 the ship was used by the Danish naval officer, Lieutenant C. Ryder, to explore the inner recesses of Scoresby Sund, finally visiting Angmagssalik. In 1902, re-named Scotia and captained by Tam Robertson from Peterhead, she sailed to the Weddell Sea under the leadership of Bruce. The southern winter of 1903 was spent at Laurie Island in the South Orkney Islands, and in March-April 1904 the party discovered 150 miles of previously unknown coastline of the Antarctic continent, reaching a farthest south of 74 degrees 01'S, 22 degrees 00'W. An extensive programme of marine survey and biological research was carried out. Back in the UK, Bruce sold the ship, and she returned to sealing, based in Dundee until appointed to be the first international North Atlantic Ice Patrol ship after the tragedy of Titanic. The Great War caused her to become a freighter in the English Channel area until she caught fire and was burnt out on a sandbank in the Bristol Channel on 18 January 1916.</t>
  </si>
  <si>
    <t>Erskine, AB (corresponding author), 16 Braid Farm Rd, Edinburgh EH10 6LF, Midlothian, Scotland.</t>
  </si>
  <si>
    <t>10.1017/S0032247405004237</t>
  </si>
  <si>
    <t>WOS:000230014000005</t>
  </si>
  <si>
    <t>Hattersley-Smith, G</t>
  </si>
  <si>
    <t>German antarctic expedition, 1873-74</t>
  </si>
  <si>
    <t>In late February/early March 1874, the members of Eduard Dallman's German 'Gronland' Expedition erected a commemorative plaque at Potter Cover, King George Island, South Shetland Islands. This historic monument was previously noted by a four-man party in 1949.</t>
  </si>
  <si>
    <t>10.1017/S0032247404224214</t>
  </si>
  <si>
    <t>WOS:000230014000008</t>
  </si>
  <si>
    <t>Grezio, A; Wells, NC; Ivchenko, VO; de Cuevas, BA</t>
  </si>
  <si>
    <t>Dynamical budgets of the Antarctic Circumpolar Current using ocean general-circulation models</t>
  </si>
  <si>
    <t>QUARTERLY JOURNAL OF THE ROYAL METEOROLOGICAL SOCIETY</t>
  </si>
  <si>
    <t>eddies; dynamical budgets</t>
  </si>
  <si>
    <t>BETA-PLANE CHANNEL; SOUTHERN-OCEAN; OBSCURANTIST PHYSICS; DRAKE PASSAGE; WIND-DRIVEN; FORM DRAG; MOMENTUM BALANCE; NUMERICAL-MODELS; NORTH-ATLANTIC; KINETIC-ENERGY</t>
  </si>
  <si>
    <t>Three general-circulation models (FRAM, OCCAM and POP) are used to investigate the dynamics of the Antarctic Circumpolar Current (ACC) at the latitudes of the Drake Passage where the ACC is unbounded. In these general circulation models, bottom form stress balances the wind stress in the momentum budgets. In the vorticity budgets, the main balance is between wind curl and bottom pressure torque in FRAM, OCCAM and POP. Moreover, in the ACC belt all topographic features are regions of nonlinearity and bottom pressure torque variations, with the Drake Passage playing the largest role. Transient eddy Reynolds stresses (TERSs) play a different role in the three models. In the upper levels, TERSs accelerate the flow in the POP and FRAM models, but decelerate the flow in OCCAM. The behaviour of TERSs change throughout the whole water column in the ACC belt and Reynolds stresses have a dragging effect on the flow below the levels where the topography starts to obstruct the flow. The total volume transport in three models is very different. Additionally, the different spatial resolution, which results in a different level of eddy kinetic energy, has a significant influence on the transport.</t>
  </si>
  <si>
    <t>Ist Nazl Geofis &amp; Vulcanol, I-40128 Bologna, Italy; Southampton Oceanog Ctr, Southampton, Hants, England</t>
  </si>
  <si>
    <t>Istituto Nazionale Geofisica e Vulcanologia (INGV); University of Southampton; NERC National Oceanography Centre</t>
  </si>
  <si>
    <t>Grezio, A (corresponding author), Ist Nazl Geofis &amp; Vulcanol, Via D Creti 12, I-40128 Bologna, Italy.</t>
  </si>
  <si>
    <t>grezio@bo.ingv.it</t>
  </si>
  <si>
    <t>GREZIO, Anita/0000-0001-6848-7589</t>
  </si>
  <si>
    <t>Natural Environment Research Council [NER/T/S/2002/00455] Funding Source: researchfish</t>
  </si>
  <si>
    <t>ROYAL METEOROLOGICAL SOC</t>
  </si>
  <si>
    <t>READING</t>
  </si>
  <si>
    <t>104 OXFORD ROAD, READING RG1 7LJ, BERKS, ENGLAND</t>
  </si>
  <si>
    <t>0035-9009</t>
  </si>
  <si>
    <t>Q J ROY METEOR SOC</t>
  </si>
  <si>
    <t>Q. J. R. Meteorol. Soc.</t>
  </si>
  <si>
    <t>A</t>
  </si>
  <si>
    <t>10.1256/qj.03.213</t>
  </si>
  <si>
    <t>924FK</t>
  </si>
  <si>
    <t>WOS:000228964200003</t>
  </si>
  <si>
    <t>Lott, F; D'Andrea, F</t>
  </si>
  <si>
    <t>Mass and wind axial angular-momentum responses to mountain torques in the 1-25 day band: Links with the Arctic Oscillation</t>
  </si>
  <si>
    <t>atmospheric angular momentum budget; geostrophic adjustment</t>
  </si>
  <si>
    <t>LENGTH-OF-DAY; MADDEN-JULIAN OSCILLATION; TIDAL EQUATIONS; EL-NINO; BALANCE; MODES; DRAG; REPRESENTATION; FLUCTUATIONS; VARIABILITY</t>
  </si>
  <si>
    <t>Using the NCAR/NCEP reanalysis data, we analyse the atmospheric angular momentum M response to torques T in the 1-25 d spectral band. At these periodicities. the variations in M are equally distributed between variations in wind angular momentum M-R and mass angular momentum M-Omega. They are driven by mountain torques T-M which are substantially larger than boundary-layer torques T-B. This equipartition between M-R and M-Omega occurs because the response to T-M in most cases satisfies the geostrophic balance, and because the major mountain ranges are located in the midlatitudes. At these latitudes, an external positive zonal-mean zonal force is in good part equilibrated by a flux of mass equatorward through the Coriolis force, a process that increases M-Omega. In geostrophic balance with this mass redistribution, the zonal-mean zonal wind increases where the force is applied and MR increases as well. This process leads to M-R approximate to M-Omega for parameters representative of the earth's atmosphere. This explanation of the equipartition between M-Omega and M-R is confirmed by two pieces of independent evidence. The first is based on the reanalysis data, in which we evaluate the contribution of six non-overlapping latitudinal sectors to T-M hence varying the importance of the Coriolis force. When the mountain torque T-M is produced by mountains located in the Arctic and Antarctic sectors. the changes in M-Omega dominate those in M-R. It is the other way round when T-M is produced by mountains located in the equatorial sector and M-Omega approximate to M-R when T-M is due to mountains located in the subtropics or in the midlatitudes. The second is based on results from a one-layer shallow-water axisymmetric model on a sphere, where zonal body forces centred at different latitudes are specified. The latitudinal dependence of the repartition between M-R and M-Omega found in the data is reproduced by the model with M-Omega approximate to M-R when the force is centred in the midlatitudes. The Arctic Oscillation (AO) pattern being associated with substantial M-Omega, the significance of these results for the atmospheric circulation variability is also discussed. In the 1-25 d band, the AO variations are very significantly related to M-Omega variations driven by T-M. This result Suggests that in this band the mountain ranges substantially affect the AO variability.</t>
  </si>
  <si>
    <t>Ecole Normale Super, CNRS, Meteorol Dynam Lab, IPSL, F-75231 Paris, France</t>
  </si>
  <si>
    <t>Sorbonne Universite; Universite Paris Cite; Universite PSL; Ecole Normale Superieure (ENS); Centre National de la Recherche Scientifique (CNRS)</t>
  </si>
  <si>
    <t>Lott, F (corresponding author), Ecole Normale Super, CNRS, Meteorol Dynam Lab, IPSL, 24 Rue Lhomond, F-75231 Paris, France.</t>
  </si>
  <si>
    <t>flott@lmd.ens.fr</t>
  </si>
  <si>
    <t>D'Andrea, Fabio/0000-0002-6249-3168</t>
  </si>
  <si>
    <t>B</t>
  </si>
  <si>
    <t>10.1256/qj.03.168</t>
  </si>
  <si>
    <t>942DG</t>
  </si>
  <si>
    <t>WOS:000230262500009</t>
  </si>
  <si>
    <t>Gersonde, R; Crosta, X; Abelmann, A; Armand, L</t>
  </si>
  <si>
    <t>Sea-surface temperature and sea ice distribution of the Southern Ocean at the EPILOG Last Glacial Maximum - A circum-Antarctic view based on siliceous microfossil records</t>
  </si>
  <si>
    <t>LATE PLEISTOCENE; BIOGENIC SILICA; ATLANTIC SECTOR; PARTICLE-FLUX; INDIAN SECTOR; POLAR FRONT; CIRCULATION; SEDIMENTS; EQUATORIAL; CARBON</t>
  </si>
  <si>
    <t>Based on the quantitative study of diatoms and radiolarians, summer sea-surface temperature (SSST) and sea ice distribution were estimated from 122 sediment core localities in the Atlantic, Indian and Pacific sectors of the Southern Ocean to reconstruct the last glacial environment at the EPILOG (19.5-16.0ka or 23000-19000 cal yr. B.P.) time-slice. The statistical methods applied include the Imbrie and Kipp Method, the Modern Analog Technique and the General Additive Model. Summer SSTs reveal greater surface-water cooling than reconstructed by CLIMAP (Geol. Soc. Am. Map Chart. Ser. MC-36 (1981) 1), reaching a maximum (4-5 degrees C) in the present Subantarctic Zone of the Atlantic and Indian sector. The reconstruction of maximum winter sea ice (WSI) extent is in accordance with CLIMAP, showing an expansion of the WSI field by around 100% compared to the present. Although only limited information is available, the data clearly show that CLIMAP strongly overestimated the glacial summer sea ice extent. As a result of the northward expansion of Antarctic cold waters by 5-10 degrees in latitude and a relatively small displacement of the Subtropical Front, thermal gradients were steepened during the last glacial in the northern zone of the Southern Ocean. Such reconstruction may, however, be inapposite for the Pacific sector. The few data available indicate reduced cooling in the southern Pacific and give suggestion for a non-uniform cooling of the glacial Southern Ocean. This study is part of MARGO, a multiproxy approach for the reconstruction of the glacial ocean surface. (c) 2004 Elsevier Ltd. All rights reserved.</t>
  </si>
  <si>
    <t>Alfred Wegener Inst Polar &amp; Marine Res, Bremerhaven, Germany; Univ Bordeaux 1, CNRS, EPOC, UMR 5805,DGO, F-33405 Talence, France; Univ Tasmania, Sch Earth Sci, Hobart, Tas, Australia</t>
  </si>
  <si>
    <t>Helmholtz Association; Alfred Wegener Institute, Helmholtz Centre for Polar &amp; Marine Research; Centre National de la Recherche Scientifique (CNRS); Universite de Bordeaux; CNRS - National Institute for Earth Sciences &amp; Astronomy (INSU); University of Tasmania</t>
  </si>
  <si>
    <t>Alfred Wegener Inst Polar &amp; Marine Res, Bremerhaven, Germany.</t>
  </si>
  <si>
    <t>rgersonde@awi-bremerhaven.de</t>
  </si>
  <si>
    <t>Armand, Leanne K/C-9004-2009; IPO, PAGES/JXY-7546-2024</t>
  </si>
  <si>
    <t>Abelmann, Andrea/0000-0001-9432-0002; Armand, Leanne/0000-0003-3995-308X</t>
  </si>
  <si>
    <t>1873-457X</t>
  </si>
  <si>
    <t>APR-MAY</t>
  </si>
  <si>
    <t>7-9</t>
  </si>
  <si>
    <t>10.1016/j.quascirev.2004.07.015</t>
  </si>
  <si>
    <t>914VO</t>
  </si>
  <si>
    <t>WOS:000228256300005</t>
  </si>
  <si>
    <t>Kiefer, T; Kienast, M</t>
  </si>
  <si>
    <t>Patterns of deglacial warming in the Pacific Ocean: a review with emphasis on the time interval of Heinrich event 1</t>
  </si>
  <si>
    <t>SEA-SURFACE TEMPERATURE; SOUTH CHINA SEA; SANTA-BARBARA BASIN; SCALE CLIMATE VARIABILITY; SUBTROPICAL NORTH PACIFIC; LAST GLACIAL PERIOD; THERMOHALINE CIRCULATION; CALIFORNIA CURRENT; LATE PLEISTOCENE; DEEP-SEA</t>
  </si>
  <si>
    <t>Based on a compilation of currently available records of past sea surface temperature (SST) variability, estimated from a variety of different proxies, the regional-scale deglacial SST development in the Pacific Ocean is tentatively classified into four endmember types. The subtropical and tropical Pacific is characterized by a continuous deglacial warming without marked interruption during the time interval of Heinrich event 1 (H1), whereas the subarctic North Pacific exhibits centennial-scale warm-cold oscillations during this time interval. SST records from marginal seas of the Pacific show a deglacial warming interrupted by a cooling event coeval with H1, followed by a marked Bolling SST increase. A single SST record from the southwestern subantarctic Pacific displays a continuous deglacial warming across H1 followed by an Antarctic Cold Reversal-type cooling during the Allerod. Thus, in contrast to the deglacial SST development in the Atlantic, which has been inferred to be overwhelmingly driven by the redistribution of heat through changes in the meridional overturning circulation (MOC), none of the open oceanic Pacific SST records reviewed here displays any obvious and/or dominant response to the reduction of the MOC and/or the reorganization of atmospheric circulation during H1. Within the limits of absolute chronologies, all tropical and subtropical Pacific SST records show an onset of deglacial warming at 19 +/- 1 ka, coeval with the onset of the deglacial rise in sea level. (c) 2004 Elsevier Ltd. All rights reserved.</t>
  </si>
  <si>
    <t>Univ Cambridge, Dept Earth Sci, Cambridge CB2 3EQ, England; Woods Hole Oceanog Inst, Woods Hole, MA 02543 USA</t>
  </si>
  <si>
    <t>University of Cambridge; Woods Hole Oceanographic Institution</t>
  </si>
  <si>
    <t>Univ Cambridge, Dept Earth Sci, Downing St, Cambridge CB2 3EQ, England.</t>
  </si>
  <si>
    <t>tkie02@esc.cam.ac.uk</t>
  </si>
  <si>
    <t>IPO, PAGES/JXY-7546-2024</t>
  </si>
  <si>
    <t>10.1016/j.quascirev.2004.02.021</t>
  </si>
  <si>
    <t>WOS:000228256300012</t>
  </si>
  <si>
    <t>Stroeven, AP; Stroeven, P; Van der Meer, JJM</t>
  </si>
  <si>
    <t>Microfabric analysis by manual and automated stereological procedures: a methodological approach to Antarctic tillite</t>
  </si>
  <si>
    <t>SEDIMENTOLOGY</t>
  </si>
  <si>
    <t>Antarctica; directed secants; Microfabric; shear planes; stereology; tillite</t>
  </si>
  <si>
    <t>SUBGLACIAL TILL; IMAGE-ANALYSIS; PARTICLE; SNOW; ANISOTROPY; SECTIONS; EXPOSURE; CONCRETE; GLACIER; MUSSELS</t>
  </si>
  <si>
    <t>Fabric analysis is commonly used to infer former movement directions of diamictons; however, analysis techniques are typically time consuming and partly subjective. Stereological analysis provides an alternative for objective determination of the preferred orientation of particles. The ability of manual and automated stereological procedures to determine the preferred orientation of particles (120-4000 mu m) in tillite is assessed, using core samples from Mount Feather, McMurdo Dry Valleys, Antarctica. Orthogonal sets of vertical thin sections were subjected to directed secant analysis involving the determination of the number of intersections between particle outlines and a rotating series of parallel lines. The manual analysis reveals a weakly developed three-dimensional tilt angle (plunge) of 68 degrees. This reflects the depth-averaged subglacial deformational structure of the deposit. Because the preferred orientation signal is weak, in the automated set-up this signal is obscured by the effect of digitization, hampering the reliable assessment of the orientation direction. The study shows microfabric variability within the studied cored section that is interpreted as a shear fabric. Reliable macrostructural information that might constrain ice flow directions requires a larger number of randomly or systematically drawn core samples from which averaged microstructural fabrics can be derived.</t>
  </si>
  <si>
    <t>Stockholm Univ, Dept Phys Geog &amp; Quartenary Geol, S-10691 Stockholm, Sweden; Delft Univ Technol, Fac Civil Engn &amp; Geosci, Delft, Netherlands; Univ London, Univ London Queen Mary &amp; Westfield Coll, Dept Phys Geog, London E1 4NS, England</t>
  </si>
  <si>
    <t>Stockholm University; Delft University of Technology; University of London; Queen Mary University London</t>
  </si>
  <si>
    <t>Stockholm Univ, Dept Phys Geog &amp; Quartenary Geol, S-10691 Stockholm, Sweden.</t>
  </si>
  <si>
    <t>arjen@geo.su.se</t>
  </si>
  <si>
    <t>Stroeven, Arjen/I-7330-2013</t>
  </si>
  <si>
    <t>Stroeven, Arjen/0000-0001-8812-2253</t>
  </si>
  <si>
    <t>0037-0746</t>
  </si>
  <si>
    <t>1365-3091</t>
  </si>
  <si>
    <t>Sedimentology</t>
  </si>
  <si>
    <t>10.1111/j.1365-3091.2004.00690.x</t>
  </si>
  <si>
    <t>925RM</t>
  </si>
  <si>
    <t>WOS:000229071000001</t>
  </si>
  <si>
    <t>Dunbar, GB; Barrett, PJ</t>
  </si>
  <si>
    <t>Estimating palaeobathymetry of wave-graded continental shelves from sediment texture</t>
  </si>
  <si>
    <t>continental shelves; palaeobathymetry; sediment texture; wave grading</t>
  </si>
  <si>
    <t>BED SHEAR-STRESS; NEW-ZEALAND; WANGANUI BASIN; SEA-LEVEL; PLIOCENE-PLEISTOCENE; OXYGEN ISOTOPES; SYSTEMS TRACT; MONTEREY BAY; COOK STRAIT; TRANSPORT</t>
  </si>
  <si>
    <t>The concept of the wave-graded continental shelf, with sea floor sediment coarsening from offshore mud to shoreface sand, has been well known from the time of Johnson (1919). Although most of the modern shelf shows textures unrelated to water depth on account of relict features or sediment starvation, the geolooical record is more likely to preserve sites where sediment is being fed to a subsiding inner-shelf. These consistently show the landward-coarsening pattern of the wave-graded shelf, recording past water depth history in accumulated sea floor sediment. The landward-coarsening pattern is driven primarily by wave-induced bed shear stress, which increases shoreward exponentially, although it also varies from place to place with wave climate, and can be influenced by sediment concentration and currents. In this study, the relationship between bed shear stress, sediment texture and water depth has been investigated by comparing per cent mud and wave climate data from shore-normal transects of three modern wave-graded coastal settings: Wellington Harbour (low energy) and the Manawatu coast (moderate energy) in New Zealand, and Monterey Bay in California (moderate-high energy). Samples from all three locations show a progressive change from poorly sorted mud offshore to well-sorted fine sand nearshore, with the sand-mud transition ranging from 3 m (low energy) to 50 m (moderate-high energy), reflecting differences in average bed shear. Repeat measurements of per cent mud on seasonal, annual and decadal time scales along a Manawatu coastal transect showed no measurable change, demonstrating equilibrium between sediment supply, wave energy, water depth and sediment texture. A simple model based on the relationship between wave climate, shear stress and per cent mud, and using data and conditions from the modern Manawatu coast, is applied to two mid-Pliocene cyclothems exposed 50 km inland, giving results comparable with estimates from foraminifera and the deep-sea isotope record. Per cent mud offers more detail for palaeobathymetric trends in shallow water shelf strata than other proxy depth recorders, although it is limited to depths above wave base and requires an independent estimate of wave climate if depths are to be quantified.</t>
  </si>
  <si>
    <t>Victoria Univ Wellington, Antarctic Res Ctr, Wellington, New Zealand</t>
  </si>
  <si>
    <t>Victoria University Wellington</t>
  </si>
  <si>
    <t>Australian Natl Univ, Res Sch Earth Sci, Canberra, ACT 0200, Australia.</t>
  </si>
  <si>
    <t>peter.barrett@vuw.ac.nz</t>
  </si>
  <si>
    <t>10.1111/j.1365-3091.2004.00695.x</t>
  </si>
  <si>
    <t>WOS:000229071000003</t>
  </si>
  <si>
    <t>Sodemann, H; Foken, T</t>
  </si>
  <si>
    <t>Special characteristics of the temperature structure near the surface</t>
  </si>
  <si>
    <t>THEORETICAL AND APPLIED CLIMATOLOGY</t>
  </si>
  <si>
    <t>Joint Meeting of the European-Geophysical-Society/American-Geophysical-Union/European-Union-of-Geoscience</t>
  </si>
  <si>
    <t>APR 06-11, 2003</t>
  </si>
  <si>
    <t>Nice, FRANCE</t>
  </si>
  <si>
    <t>AIR-SEA INTERFACE; ENERGY EXCHANGE; BOUNDARY-LAYER; FLUX MEASUREMENTS; ICE-SHEET; ATMOSPHERE; MODEL; TURBULENCE</t>
  </si>
  <si>
    <t>Detailed analyses of air temperature profiles measured over the Antarctic shelf ice revealed the frequent presence of an inversion layer in the lower 2 m above ground. The regular character of the phenomenon allowed for an in-depth description of its diurnal evolution and long-term behavior. From additional high-resolution temperature profile measurements it was observed that the inversion layer leads to a decoupling of the surface layer heat fluxes from the radiative surface temperature. It is demonstrated that bulk parameterizations are not able to provide valid predictions of turbulent heat fluxes under such conditions. A model with a three-layer temperature profile is shown to give useful estimates for the aerodynamic temperature, even in the presence of an inversion layer near the surface. This indicates a possible approach to address the limitations of current bulk parameterizations for heat fluxes in high latitudes.</t>
  </si>
  <si>
    <t>Univ Bayreuth, Dept Micrometeorol, D-95440 Bayreuth, Germany</t>
  </si>
  <si>
    <t>University of Bayreuth</t>
  </si>
  <si>
    <t>Sodemann, H (corresponding author), ETH Honggerberg, Inst Atmospher &amp; Climate Sci, CH-8093 Zurich, Switzerland.</t>
  </si>
  <si>
    <t>harald.sodemann@env.ethz.ch</t>
  </si>
  <si>
    <t>Sodemann, Harald/ABG-5304-2021; Foken, Thomas/AAW-2999-2020; Foken, Thomas/HGF-2971-2022</t>
  </si>
  <si>
    <t>Sodemann, Harald/0000-0002-8167-0860; Foken, Thomas/0000-0003-4562-9083; Foken, Thomas/0000-0003-4562-9083</t>
  </si>
  <si>
    <t>SPRINGER WIEN</t>
  </si>
  <si>
    <t>WIEN</t>
  </si>
  <si>
    <t>SACHSENPLATZ 4-6, PO BOX 89, A-1201 WIEN, AUSTRIA</t>
  </si>
  <si>
    <t>0177-798X</t>
  </si>
  <si>
    <t>THEOR APPL CLIMATOL</t>
  </si>
  <si>
    <t>Theor. Appl. Climatol.</t>
  </si>
  <si>
    <t>2-4</t>
  </si>
  <si>
    <t>10.1007/s00704-004-0092-1</t>
  </si>
  <si>
    <t>931IC</t>
  </si>
  <si>
    <t>WOS:000229478000002</t>
  </si>
  <si>
    <t>Jarvis, MJ; Clilverd, MA; Rose, MC; Rodwell, S</t>
  </si>
  <si>
    <t>Polar mesosphere summer echoes (PMSE) at Halley (76°S, 27°W), Antarctica -: art. no. L06816</t>
  </si>
  <si>
    <t>NOCTILUCENT CLOUDS; MESOPAUSE; TEMPERATURE; NORTHERN; WINDS; VHF</t>
  </si>
  <si>
    <t>Polar Mesosphere Summer Echoes (PMSE) are a pointer to summer mesospheric conditions and have fuelled the debate over temperature differences between the Antarctic and Arctic mesopause regions. However few PMSE observations have ever been made in Antarctica. We present initial PMSE observations from Halley (76 degrees S, 27 degrees W), taken during January and February 2004. These are the first observations at such high southern latitude, the first using a dynasonde for detection, and the first at 28 MHz. PMSE are frequently observed and exhibit a double maximum in diurnal occurrence in contrast to published observations at similar Arctic latitudes. The PMSE season ends slightly earlier, relative to summer solstice, than in the Arctic. The strength of the PMSE appear similar to PMSE observed in the northern hemisphere; this is consistent with published falling sphere measurements showing similar summer mesopause temperatures in January in the Antarctic as in July in the Arctic.</t>
  </si>
  <si>
    <t>Jarvis, MJ (corresponding author), British Antarctic Survey, Madingley Rd, Cambridge CB3 0ET, England.</t>
  </si>
  <si>
    <t>MAR 31</t>
  </si>
  <si>
    <t>L06816</t>
  </si>
  <si>
    <t>10.1029/2004GL021804</t>
  </si>
  <si>
    <t>916DB</t>
  </si>
  <si>
    <t>WOS:000228364500001</t>
  </si>
  <si>
    <t>Horne, RB; Thorne, RM; Glauert, SA; Albert, JM; Meredith, NP; Anderson, RR</t>
  </si>
  <si>
    <t>Timescale for radiation belt electron acceleration by whistler mode chorus waves</t>
  </si>
  <si>
    <t>LINEAR DIFFUSION-COEFFICIENTS; OUTER-ZONE ELECTRONS; RELATIVISTIC ELECTRONS; PITCH-ANGLE; GEOMAGNETIC STORMS; RESONANT INTERACTIONS; SUBSTORM DEPENDENCE; MAGNETIC STORM; ION-CYCLOTRON; EMIC WAVES</t>
  </si>
  <si>
    <t>Electron acceleration inside the Earth's magnetosphere is required to explain increases in the similar to MeV radiation belt electron flux during magnetically disturbed periods. Recent studies show that electron acceleration by whistler mode chorus waves becomes most efficient just outside the plasmapause, near L = 4.5, where peaks in the electron phase space density are observed. We present CRRES data on the spatial distribution of chorus emissions during active conditions. The wave data are used to calculate the pitch angle and energy diffusion rates in three magnetic local time (MLT) sectors and to obtain a timescale for acceleration. We show that chorus emissions in the prenoon sector accelerate electrons most efficiently at latitudes above 15 degrees for equatorial pitch angles between 20 degrees and 60 degrees. As electrons drift around the Earth, they are scattered to large pitch angles and further accelerated by chorus on the nightside in the equatorial region. The timescale to accelerate electrons by whistler mode chorus and increase the flux at 1 MeV by an order of magnitude is approximately 1 day, in agreement with satellite observations during the recovery phase of storms. During wave acceleration the electrons undergo many drift orbits and the resulting pitch angle distributions are energy-dependent. Chorus scattering should produce pitch angle distributions that are either flat-topped or butterfly-shaped. The results provide strong support for the wave acceleration theory.</t>
  </si>
  <si>
    <t>British Antarctic Survey, NERC, Cambridge CB3 0ET, England; Univ Calif Los Angeles, Dept Atmospher Sci, Los Angeles, CA 90095 USA; USAF, Space Vehicles Directorate, Res Lab, VSBX, Hanscom AFB, MA 01731 USA; UCL, Mullard Space Sci Lab, Dorking RH5 6NT, Surrey, England; Univ Iowa, Dept Phys &amp; Astron, Iowa City, IA 52242 USA</t>
  </si>
  <si>
    <t>UK Research &amp; Innovation (UKRI); Natural Environment Research Council (NERC); NERC British Antarctic Survey; University of California System; University of California Los Angeles; United States Department of Defense; United States Air Force; University of London; University College London; University of Iowa</t>
  </si>
  <si>
    <t>r.horne@bas.ac.uk; rmt@atmos.ucla.edu; sagl@bas.ac.uk; jay.albert@hanscom.af.mil; npm@mssl.ucl.ac.uk; roger-r-anderson@uiowa.edu</t>
  </si>
  <si>
    <t>Albert, Jay/AAV-6860-2020; Meredith, Nigel P/C-5806-2018; Horne, Richard B/U-3764-2019</t>
  </si>
  <si>
    <t>Albert, Jay/0000-0001-9494-7630; Horne, Richard B/0000-0002-0412-6407; Meredith, Nigel/0000-0001-5032-3463</t>
  </si>
  <si>
    <t>A3</t>
  </si>
  <si>
    <t>A03225</t>
  </si>
  <si>
    <t>10.1029/2004JA010811</t>
  </si>
  <si>
    <t>916FK</t>
  </si>
  <si>
    <t>WOS:000228370600001</t>
  </si>
  <si>
    <t>Van de Velde, K; Vallelonga, P; Candelone, JP; Rosman, KJR; Gaspari, V; Cozzi, G; Barbante, C; Udisti, R; Cescon, P; Boutron, CF</t>
  </si>
  <si>
    <t>Pb isotope record over one century in snow from Victoria Land, Antarctica</t>
  </si>
  <si>
    <t>lead; isotopic ratios; isotope dilution; Antarctica; pollution</t>
  </si>
  <si>
    <t>LEAD ISOTOPES; HEAVY-METALS; LAW DOME; SOURCE SIGNATURES; ATMOSPHERIC LEAD; COATS LAND; ICE CORES; GREENLAND; AEROSOLS; CLIMATE</t>
  </si>
  <si>
    <t>Pb and Ba concentrations and Pb isotopic compositions are reported for firn core and snow pit samples from Victoria Land, Antarctica, dating from 1872 AD to 1994 AD. From variations in Pb/Ba ratios and Pb isotopic compositions, two periods of major Pb enhancements were identified, from 1891 to 1908 AD and from 1948 to 1994 AD. The earlier pollution event is attributed to Pb emissions from non-ferrous metal production and coal combustion in the Southern Hemisphere and is in excellent agreement with coincident pollution inputs reported in firn/ice cores from two other regions of Antarctica, at Coats Land and Law Dome. Using Pb isotopic systematics, it was calculated that similar to 50% of Pb deposited in Victoria Land in 1897 originated from anthropogenic emission sources. The more recent period of Pb enhancements, from 1948 to 1994 AD, corresponds to the introduction and widespread use of gasoline alkyl Pb additives in automobiles in the Southern Hemisphere, with anthropogenic Pb inputs averaging 60% of total Pb but with large uncertainty. Intra- and inter-annual variations in Pb concentrations and isotopic compositions were evaluated in snow pits samples corresponding to the period 1991-1994. Substantial variations in Pb/ Ba and Pb-206/Pb-207 ratios were detected but the absence of a regular seasonal pattern for these parameters suggests that the transport and deposition of aerosols to the Antarctic ice sheet are complex and vary from year to year. (c) 2005 Elsevier B.V. All rights reserved.</t>
  </si>
  <si>
    <t>Curtin Univ Technol, Dept Appl Phys, Perth, WA 6845, Australia; Univ Venice, Dept Environm Sci, I-30123 Venice, Italy; Univ Venice, CNR, Inst Dynam Environm Proc, I-30123 Venice, Italy; Univ Florence, Dept Chem, I-50019 Sesto Fiorentino, Italy; CNRS, Lab Glaciol &amp; Geophys Environm, F-38402 St Martin Dheres, France; Univ Grenoble 1, Unite Format Rech Phys, Observ Sci Univ, Inst Univ France, F-38041 Grenoble, France</t>
  </si>
  <si>
    <t>Curtin University; Universita Ca Foscari Venezia; Universita Ca Foscari Venezia; Consiglio Nazionale delle Ricerche (CNR); Istituto per la Dinamica dei Processi Ambientali (IDPA-CNR); University of Florence; Centre National de la Recherche Scientifique (CNRS); Institut Universitaire de France; Communaute Universite Grenoble Alpes; Universite Grenoble Alpes (UGA)</t>
  </si>
  <si>
    <t>Curtin Univ Technol, Dept Appl Phys, GPO Box U 1987, Perth, WA 6845, Australia.</t>
  </si>
  <si>
    <t>P.Vallelonga@curtin.edu.au</t>
  </si>
  <si>
    <t>Cozzi, Giulio/R-4554-2019; Cozzi, Giulio/F-6473-2010; Barbante, Carlo/B-3195-2011; Udisti, Roberto/M-7966-2015; Vallelonga, Paul/I-9650-2016</t>
  </si>
  <si>
    <t>Cozzi, Giulio/0000-0001-8796-4176; Udisti, Roberto/0000-0003-4440-8238; Cescon, Paolo/0000-0003-1836-6759; Becagli, Silvia/0000-0003-3633-4849; Vallelonga, Paul/0000-0003-1055-7235; Barbante, Carlo/0000-0003-4177-2288</t>
  </si>
  <si>
    <t>MAR 30</t>
  </si>
  <si>
    <t>10.1016/j.epsl.2005.01.007</t>
  </si>
  <si>
    <t>913NN</t>
  </si>
  <si>
    <t>WOS:000228158800009</t>
  </si>
  <si>
    <t>Haywood, AM; Dekens, P; Ravelo, AC; Williams, M</t>
  </si>
  <si>
    <t>Warmer tropics during the mid-Pliocene? Evidence from alkenone paleothermometry and a fully coupled ocean-atmosphere GCM</t>
  </si>
  <si>
    <t>alkenones; GCM; mid-Pliocene; PRISM; sea-surface temperature; paleoceanography : global climate models (1626,3337); paleoceanography : greenhouse gases; paleoceanography : sea surface temperature; global change : oceans (1616,3305,4215,4513)</t>
  </si>
  <si>
    <t>SEA-SURFACE TEMPERATURES; NORTH-ATLANTIC OCEAN; FORAMINIFER TRANSFER-FUNCTION; HEAT TRANSPORTS; LATE NEOGENE; CLIMATE; PALEOCLIMATE; CIRCULATION; RECORDS; SEASONALITY</t>
  </si>
  <si>
    <t>[1] Traditional reconstructions of sea-surface temperatures (SSTs) produced by the Pliocene Research Interpretations and Synoptic Mapping ( PRISM) Group indicate that mid-Pliocene surface ocean temperatures were unchanged or slightly cooler than modern at the tropics and low latitudes and significantly warmer at higher latitudes, particularly in the North Atlantic. This change in the latitudinal pattern of SSTs has been attributed to enhanced meridional ocean heat transport generated by more vigorous surface ocean gyres and/or thermohaline circulation (THC). This study derives new SST estimates using the alkenone paleothermometer in the Pacific Ocean. These estimates, combined with published alkenone SST data from two Atlantic sites, are located in tropical and subtropical regions where the distribution of PRISM sites is sparse. A fully coupled ocean-atmosphere general circulation model ( OAGCM) running for the mid-Pliocene was also used to predict SST. Significant differences are noted between absolute PRISM SSTs interpolated to our core locations and alkenone- derived SSTs. These differences may be related to errors in the PRISM and alkenone paleothermometry estimates or to regional differences between localities where data was collected. However, the available alkenone and model-based SST estimates are consistent in the sign of temperature change they predict and provide the first indication of warmer SSTs during the mid-Pliocene in the tropics and subtropics. This contrasts with PRISM's estimates of unchanged or slightly cooler SSTs for the same geographical regions. The pattern of SSTs, produced by alkenone estimates and modeling, is not characteristic of that produced by enhanced meridional ocean heat transport or THC. Instead, the pattern is similar to that which might be expected as a result of higher concentrations of atmospheric CO2, which would act to warm the oceans at the tropics and other latitudes. Furthermore, model diagnostics indicate that reduced sea ice and terrestrial ice sheet extents and a strong ice-albedo feedback played a major role in forcing mid-Pliocene warmth. Further work aimed at validating these conclusions should concentrate on expanding the mid-Pliocene SST data set, particularly at low latitudes, as well as undertaking model/model comparisons to assess model dependency of the results.</t>
  </si>
  <si>
    <t>British Antarctic Survey, Geol Sci Div, Cambridge CB3 0ET, England; Univ Calif Santa Cruz, OCean Sci Dept, Santa Cruz, CA 95064 USA</t>
  </si>
  <si>
    <t>UK Research &amp; Innovation (UKRI); Natural Environment Research Council (NERC); NERC British Antarctic Survey; University of California System; University of California Santa Cruz</t>
  </si>
  <si>
    <t>British Antarctic Survey, Geol Sci Div, Madingley Rd, Cambridge CB3 0ET, England.</t>
  </si>
  <si>
    <t>ahay@bas.ac.uk</t>
  </si>
  <si>
    <t>; Williams, Mark/B-7590-2009</t>
  </si>
  <si>
    <t>Ravelo, Ana Christina/0000-0003-3929-677X; Williams, Mark/0000-0002-7987-6069</t>
  </si>
  <si>
    <t>MAR 29</t>
  </si>
  <si>
    <t>Q03010</t>
  </si>
  <si>
    <t>10.1029/2004GC000799</t>
  </si>
  <si>
    <t>916CJ</t>
  </si>
  <si>
    <t>WOS:000228362700001</t>
  </si>
  <si>
    <t>Castellano, E; Becagli, S; Hansson, M; Hutterli, M; Petit, JR; Rampino, MR; Severi, M; Steffensen, JP; Traversi, R; Udisti, R</t>
  </si>
  <si>
    <t>Holocene volcanic history as recorded in the sulfate stratigraphy of the European Project for Ice Coring in Antarctica Dome C (EDC96) ice core</t>
  </si>
  <si>
    <t>EXPLOSIVE VOLCANISM; LAW DOME; GREENLAND; CLIMATE; ACCUMULATION; VARIABILITY; SURFACE; EVENTS; IMPACT; DUST</t>
  </si>
  <si>
    <t>[1] A detailed history of Holocene volcanism was reconstructed using the sulfate record of the European Project for Ice Coring in Antarctica Dome C (EDC96) ice core. This first complete Holocene volcanic record from an Antarctic core provides a reliable database to compare with long records from Antarctic and Greenland ice cores. A threshold method based on statistical treatment of the lognormal sulfate flux distribution was used to differentiate volcanic sulfate spikes from sulfate background concentrations. Ninety-six eruptions were identified in the EDC96 ice core during the Holocene, with a mean of 7.9 events per millennium. The frequency distribution ( events per millennium) showed that the last 2000 years were a period of enhanced volcanic activity. EDC96 volcanic signatures for the last millennium are in good agreement with those recorded in other Antarctic ice cores. For older periods, comparison is in some cases less reliable, mainly because of dating uncertainties. Sulfate depositional fluxes of individual volcanic events vary greatly among the different cores. A volcanic flux normalization ( volcanic flux/Tambora flux ratio) was used to evaluate the relative intensity of the same event recorded at different sites in the last millennium. Normalized flux variability for the same event showed the highest value in the 1100 - 1500 AD period. This pattern could mirror changes in regional transport linked to climatic variations such as slight warming stages in the Southern Hemisphere ( Southern Hemisphere Medieval Warming - like period?).</t>
  </si>
  <si>
    <t>Univ Florence, Dept Chem, I-50019 Florence, Italy; Stockholm Univ, Dept Phys Geog &amp; Quaternary Geol, S-10691 Stockholm, Sweden; Univ Bern, Inst Phys, CH-3012 Bern, Switzerland; Ecole Natl Super Electrochim &amp; Electrome Grenoble, Lab Glaciol &amp; Geophys Environm, CNRS, F-38402 St Martin Dheres, France; NYU, Earth &amp; Environm Sci Program, New York, NY 10003 USA; Univ Copenhagen, Niels Bohr Inst, Dept Geophys, DK-2100 Copenhagen, Denmark</t>
  </si>
  <si>
    <t>University of Florence; Stockholm University; University of Bern; Centre National de la Recherche Scientifique (CNRS); Communaute Universite Grenoble Alpes; Institut National Polytechnique de Grenoble; New York University; University of Copenhagen; Niels Bohr Institute</t>
  </si>
  <si>
    <t>Univ Florence, Dept Chem, Via Lastruccia 3, I-50019 Florence, Italy.</t>
  </si>
  <si>
    <t>udisti@unifi.it</t>
  </si>
  <si>
    <t>Udisti, Roberto/M-7966-2015; Becagli, Silvia/GNW-2665-2022; Steffensen, Jorgen Peder/JFS-7831-2023; Severi, Mirko/J-2508-2012; Traversi, Rita/M-7586-2015</t>
  </si>
  <si>
    <t>Udisti, Roberto/0000-0003-4440-8238; Steffensen, Jorgen Peder/0000-0002-5516-1093; Severi, Mirko/0000-0003-1511-6762; Becagli, Silvia/0000-0003-3633-4849; Traversi, Rita/0000-0002-9790-2195</t>
  </si>
  <si>
    <t>MAR 25</t>
  </si>
  <si>
    <t>D6</t>
  </si>
  <si>
    <t>D06114</t>
  </si>
  <si>
    <t>10.1029/2004JD005259</t>
  </si>
  <si>
    <t>913LS</t>
  </si>
  <si>
    <t>WOS:000228153800003</t>
  </si>
  <si>
    <t>Schlitt, T; Brazma, A</t>
  </si>
  <si>
    <t>Modelling gene networks at different organisational levels</t>
  </si>
  <si>
    <t>FEBS LETTERS</t>
  </si>
  <si>
    <t>gene network; transcription regulation network; boolean network; module; model</t>
  </si>
  <si>
    <t>REGULATORY NETWORK; CELL-CYCLE; TRANSCRIPTIONAL REGULATORS; SACCHAROMYCES-CEREVISIAE; EUKARYOTIC GENOME; ESCHERICHIA-COLI; COMPLEX NETWORKS; EXPRESSION DATA; FISSION YEAST; IN-SILICO</t>
  </si>
  <si>
    <t>Approaches to modelling gene regulation networks can be categorized, according to increasing detail, as network parts lists, network topology models, network control logic models, or dynamic models. We discuss the current state of the art for each of these approaches. There is a gap between the parts list and topology models on one hand, and control logic and dynamic models on the other hand. The first two classes of models have reached a genome-wide scale, while for the other model classes high throughput technologies are yet to make a major impact. (c) 2005 Federation of European Biochemical Societies. Published by Elsevier B.V. All rights reserved.</t>
  </si>
  <si>
    <t>British Antarctic Survey, NERC, Cambridge CB3 0ET, England; European Bioinformat Inst, EMBL, Cambridge CB10 1SD, England</t>
  </si>
  <si>
    <t>UK Research &amp; Innovation (UKRI); Natural Environment Research Council (NERC); NERC British Antarctic Survey; European Molecular Biology Laboratory (EMBL)</t>
  </si>
  <si>
    <t>tsc@bas.ac.uk</t>
  </si>
  <si>
    <t>Schlitt, Thomas/F-2123-2010; Schlitt, Thomas/GWQ-8928-2022</t>
  </si>
  <si>
    <t>Schlitt, Thomas/0000-0002-0508-3971; Brazma, Alvis/0000-0001-5988-7409</t>
  </si>
  <si>
    <t>1873-3468</t>
  </si>
  <si>
    <t>FEBS LETT</t>
  </si>
  <si>
    <t>FEBS Lett.</t>
  </si>
  <si>
    <t>MAR 21</t>
  </si>
  <si>
    <t>10.1016/j.febslet.2005.01.073</t>
  </si>
  <si>
    <t>906QT</t>
  </si>
  <si>
    <t>WOS:000227657800016</t>
  </si>
  <si>
    <t>Teschke, M; Saborowski, R</t>
  </si>
  <si>
    <t>Cysteine proteinases substitute for serine proteinases in the midgut glands of Crangon crangon and Crangon allmani (Decapoda: Caridea)</t>
  </si>
  <si>
    <t>Crangon crangon; Crangon allmani; enzymatic food utilization; trypsin; cathepsin</t>
  </si>
  <si>
    <t>TRYPSIN-LIKE PROTEASE; MOLECULAR-CLONING; EUPHAUSIA-SUPERBA; PENAEUS-VANNAMEI; ANTARCTIC KRILL; WADDEN SEA; CRUSTACEA; INHIBITORS; ENZYMES; LOBSTER</t>
  </si>
  <si>
    <t>The utilization of dietary proteins in crustaceans is facilitated by a set of peptide hydrolases which are often dominated by trypsin-like serine proteinases. As expected, the North Sea shrimps Crangon crangon and Crangon allmani showed in their midgut glands high proteolytic activities. However, the majority of animals lacked trypsin and chymotrypsin. Conversely, a minority of about 10% of the animals had elevated trypsin activities. The appearance of trypsin was neither related to the mode of feeding nor to the nutritive state of the animals. When present, trypsin was expressed in both species as a single isoform of apparently 20 kDa. The lack of serine proteinases was also confirmed by inhibitor assays. AEBSF, a serine proteinase inhibitor, slightly reduced total proteinase activity by less than 10%. In contrast E 64, a cysteine proteinase inhibitor, caused a reduction of more than 70% of total proteinase activity, indicating that a substantial share of proteolytic activity is caused by cysteine proteinases. Cathepsin L-like proteinases were identified as major cysteine proteinases. A comparison with the eucarid crustaceans Pandalus montagui, Pagurus bernhardus, Cancer pagurus and Euphausia superba showed a similar high level of total proteinase activity in all species. Trypsin, however, varied significantly between species showing lowest activities in Caridea and the highest activity in E. superba. E 64 suppressed total proteinase activity by more than 70% in Crangon species but not in C. pagurus and E. superba. In contrast, the serine proteinase inhibitor AEBSF had only little effect in Caridea but was most effective in P. bernhardus, C. pagurus and E. superba. The results may indicate different traits of food utilization strategies in some eucarid crustaceans. Caridea may express predominantly cysteine proteinase, while in Anomura, Brachyura and Euphausiacea, serine proteinases may prevail. (c) 2004 Elsevier B.V. All rights reserved.</t>
  </si>
  <si>
    <t>Alfred Wegener Inst Polar &amp; Marine Res, Biol Anstalt Helgoland, D-27483 Helgoland, Germany; Univ Hamburg, Zool Inst &amp; Museum, D-20146 Hamburg, Germany</t>
  </si>
  <si>
    <t>Helmholtz Association; Alfred Wegener Institute, Helmholtz Centre for Polar &amp; Marine Research; University of Hamburg</t>
  </si>
  <si>
    <t>Saborowski, R (corresponding author), Alfred Wegener Inst Polar &amp; Marine Res, Biol Anstalt Helgoland, POB 180, D-27483 Helgoland, Germany.</t>
  </si>
  <si>
    <t>RSaborowski@awi-bremerhaven.de</t>
  </si>
  <si>
    <t>Saborowski, Reinhard/0000-0003-0289-6501</t>
  </si>
  <si>
    <t>10.1016/j.jembe.2004.11.007</t>
  </si>
  <si>
    <t>910KY</t>
  </si>
  <si>
    <t>WOS:000227931400008</t>
  </si>
  <si>
    <t>Pahnke, K; Zahn, R</t>
  </si>
  <si>
    <t>Southern hemisphere water mass conversion linked with North Atlantic climate variability</t>
  </si>
  <si>
    <t>LAST GLACIAL MAXIMUM; ANTARCTIC MODE WATER; VOSTOK ICE CORE; THERMOHALINE CIRCULATION; INTERMEDIATE WATER; OCEAN CIRCULATION; SEA-LEVEL; LABRADOR SEA; TIME SCALES; DEEP-WATER</t>
  </si>
  <si>
    <t>Intermediate water variability at multicentennial scales is documented by 340,000-year-long isotope time series from bottom-dwelling foraminifers at a mid-depth core site in the southwest Pacific. Periods of sudden increases in intermediate water production are linked with transient Southern Hemisphere warm episodes, which implies direct control of climate warming on intermediate water conversion at high southern latitudes. Coincidence with episodes of climate cooling and minimum or halted deepwater convection in the North Atlantic provides striking evidence for interdependence of water mass conversion in both hemispheres, with implications for interhemispheric forcing of ocean thermohaline circulation and climate instability.</t>
  </si>
  <si>
    <t>Cardiff Univ, Sch Earth Ocean &amp; Planetary Sci, Cardiff CF10 3YE, S Glam, Wales; ICREA, E-08193 Barcelona, Spain; Univ Autonoma Barcelona, ICTA, E-08193 Barcelona, Spain</t>
  </si>
  <si>
    <t>Cardiff University; ICREA; Autonomous University of Barcelona</t>
  </si>
  <si>
    <t>Pahnke, K (corresponding author), MIT, Dept Earth Atmospher &amp; Planetary Sci, Cambridge, MA 02139 USA.</t>
  </si>
  <si>
    <t>kpahnke@mit.edu; rainer.zahn@icrea.es</t>
  </si>
  <si>
    <t>Pahnke, Katharina/0000-0001-9114-8411</t>
  </si>
  <si>
    <t>ICREA Funding Source: Custom</t>
  </si>
  <si>
    <t>ICREA(ICREA)</t>
  </si>
  <si>
    <t>MAR 18</t>
  </si>
  <si>
    <t>10.1126/science.1102163</t>
  </si>
  <si>
    <t>909TP</t>
  </si>
  <si>
    <t>WOS:000227883900036</t>
  </si>
  <si>
    <t>Drijfhout, SS; Donners, J; de Ruijter, WPM</t>
  </si>
  <si>
    <t>The origin of Intermediate and Subpolar Mode Waters crossing the Atlantic equator in OCCAM</t>
  </si>
  <si>
    <t>SOUTH-ATLANTIC; INTEROCEAN EXCHANGE; OCEAN; CIRCULATION; THERMOCLINE; SECTION; FLOW</t>
  </si>
  <si>
    <t>The origin of the intermediate waters that cross the equatorial Atlantic as part of the return flow for North Atlantic Deep Water was studied in a high resolution global ocean model using a Lagrangian particle following technique. Most of these waters are subducted in the southeast Indian Ocean. Less than twenty percent comes directly from Drake Passage without looping into the Indian Ocean; the majority being provided by Agulhas leakage. Most of the intermediate waters that subduct in the South Atlantic do not follow the South Atlantic/Indian Ocean supergyre, but remain within the Antarctic Circumpolar Current, and gradually transform into Circumpolar Deep Water by diapycnal mixing.</t>
  </si>
  <si>
    <t>Inst Marine &amp; Atmospher Res, NL-3508 TA Utrecht, Netherlands; Royal Netherlands Meteorol Inst, NL-3730 AE De Bilt, Netherlands</t>
  </si>
  <si>
    <t>Utrecht University; Royal Netherlands Meteorological Institute</t>
  </si>
  <si>
    <t>Inst Marine &amp; Atmospher Res, POB 80005, NL-3508 TA Utrecht, Netherlands.</t>
  </si>
  <si>
    <t>drijfhou@knmi.nl; donners@knmi.nl; w.p.m.deruijter@phys.uu.nl</t>
  </si>
  <si>
    <t>Drijfhout, Sybren/I-4230-2016; de Ruijter, Wilhelmus/I-2541-2016</t>
  </si>
  <si>
    <t>Drijfhout, Sybren/0000-0001-5325-7350</t>
  </si>
  <si>
    <t>MAR 17</t>
  </si>
  <si>
    <t>L06602</t>
  </si>
  <si>
    <t>10.1029/2004GL021851</t>
  </si>
  <si>
    <t>909QB</t>
  </si>
  <si>
    <t>WOS:000227874300003</t>
  </si>
  <si>
    <t>Efthymiadis, D; New, M; Washington, R</t>
  </si>
  <si>
    <t>On the reconstruction of seasonal oceanic precipitation in the presatellite era</t>
  </si>
  <si>
    <t>SEA-SURFACE TEMPERATURE; VERTICAL STRUCTURE INFORMATION; PASSIVE MICROWAVE TECHNIQUE; ANTARCTIC PRECIPITATION; SOUTHERN-OSCILLATION; FIELD RECONSTRUCTION; ESTIMATING RAINFALL; PACIFIC-OCEAN; SPACE; ENSO</t>
  </si>
  <si>
    <t>A fundamental limitation of gridded precipitation data sets is the paucity of observations over the oceans in the presatellite era. We have evaluated the capabilities and limitations of reconstructing oceanic precipitation using land-based precipitation records. The reconstruction method is based on eigenvector projection, where eigenvectors (or empirical orthogonal functions) of precipitation variability in the Climate Prediction Center (CPC) merged analysis of precipitation (CMAP) gauge/satellite precipitation data set, with near-global coverage from 1979 to present, are projected onto land-only data. The approach has useful skill in areas of the tropics where interannual variability is mainly associated with El Nino-Southern Oscillation (ENSO) activity. Reconstruction is less skillful in non-ENSO years and is primarily restricted to within 1000-2000 km of land-based data. Analogous dependencies hold for the extratropical oceans, where precipitation is best reconstructed close to land data and/or in areas where precipitation variability is locally associated with major atmospheric circulation patterns. Using the National Centers for Environmental Prediction-National Center for Atmospheric Research reanalysis precipitation as a proxy'' for observations in the presatellite era yields similar results, and in addition, illustrates the limitations to the approach when applied in the presatellite era (prior to 1979): skill is greatest in oceanic areas that are close to land observations and/or dominated by persistent atmospheric or atmosphere-ocean patterns. Overall, the technique would appear to have some value in providing a qualitative picture of oceanic precipitation variability in the presatellite era, but estimation errors preclude use of the data for quantitative analyses.</t>
  </si>
  <si>
    <t>Univ E Anglia, Sch Environm Sci, Climate Res Unit, Norwich, NY USA; Univ Oxford, Ctr Environm, Sch Geog &amp; Environm, Climatol Res Grp, Oxford, England</t>
  </si>
  <si>
    <t>University of Oxford</t>
  </si>
  <si>
    <t>Univ E Anglia, Sch Environm Sci, Climate Res Unit, Norwich, NY USA.</t>
  </si>
  <si>
    <t>New, Mark/A-7684-2008</t>
  </si>
  <si>
    <t>New, Mark/0000-0001-6082-8879; Washington, Richard/0000-0003-2521-4614</t>
  </si>
  <si>
    <t>D06103</t>
  </si>
  <si>
    <t>10.1029/2004JD005339</t>
  </si>
  <si>
    <t>909QH</t>
  </si>
  <si>
    <t>WOS:000227874900005</t>
  </si>
  <si>
    <t>Steinhorst, HM; Konopka, P; Günther, G; Müller, R</t>
  </si>
  <si>
    <t>How permeable is the edge of the Arctic vortex:: Model studies of winter 1999-2000 -: art. no. D06105</t>
  </si>
  <si>
    <t>STRATOSPHERIC POLAR VORTEX; BREAKING PLANETARY-WAVES; OZONE LOSS; ANTARCTIC VORTEX; ROSSBY-WAVE; DYNAMICS; DESCENT; CLIMATOLOGY; TRANSPORT</t>
  </si>
  <si>
    <t>The edge of the Arctic vortex constitutes a strong barrier to transport; however, the extent of isolation of the vortex air as a function of altitude and season is relatively poorly quantified. In this study, by examining the transport of midlatitude air parcels across the vortex edge into the vortex, we analyze the permeability of the vortex edge. With the three-dimensional version of CLaMS (Chemical Lagrangian Model of the Stratosphere) we explore the dilution of the vortex air due to mixing in winter 1999-2000. An artificial, passive tracer was initialized on 1 December 1999 inside the polar vortex with a value of 100% and with a value of zero outside the polar vortex. Using several different definitions of the vortex edge, the resulting intrusions of midlatitude air into the vortex show the same mean features. This demonstrates that the diagnosed dilution does not strongly depend on the details of the definition of the vortex edge. At about the end of March 2000, the vertical structure of the vortex consisted of well-isolated, pure vortex layers around 500 K and 750 K, with some more diluted layers in between and at the vortex bottom. The influence of wave activity on the evolution of the intrusion layers is studied. The divergence of the Eliassen-Palm flux shows such a high variability during the whole period that it is not possible to assess a direct causality of certain intrusion layers and some specific patterns. Some characteristics of the vortex edge, in particular the shape of the gradient of potential vorticity (PV), can influence the dilution of the vortex. In cases without a distinct maximum in the PV gradient, the defined vortex edge'' may vary substantially from day to day. The comparison of some properties of the vortex (wind speed, PV field, area of the vortex, the maximum of the PV gradient) of undisturbed versus diluted layers and the variation in time of the intrusions were analyzed. All observed intrusions begin in conditions of weak PV gradient, indicating that the value of the maximum of the PV gradient may be used as a quantitative measure of the permeability of the vortex edge.</t>
  </si>
  <si>
    <t>Inst Stratospher Chem, ICG 1, Julich, Germany</t>
  </si>
  <si>
    <t>Inst Stratospher Chem, ICG 1, Julich, Germany.</t>
  </si>
  <si>
    <t>Konopka, Paul/A-7329-2013; Müller, Rolf/ABA-8213-2021; Guenther, Gebhard/K-7583-2012</t>
  </si>
  <si>
    <t>Konopka, Paul/0000-0002-5915-830X; Müller, Rolf/0000-0002-5024-9977; Guenther, Gebhard/0000-0003-4111-6221</t>
  </si>
  <si>
    <t>D06105</t>
  </si>
  <si>
    <t>10.1029/2004JD005268</t>
  </si>
  <si>
    <t>WOS:000227874900003</t>
  </si>
  <si>
    <t>Vuan, A; Maurice, SDR; Wiens, DA; Panza, GF</t>
  </si>
  <si>
    <t>Crustal and upper mantle S-wave velocity structure beneath the Bransfield Strait (West Antarctica) from regional surface wave tomography</t>
  </si>
  <si>
    <t>TECTONOPHYSICS</t>
  </si>
  <si>
    <t>rifting; continental crust; upper mantle; surface wave tomography; S-wave velocity; Bransfield Strait; West Antarctica</t>
  </si>
  <si>
    <t>SUBDUCTION HISTORY; RAYLEIGH-WAVES; TRAVEL-TIMES; BASIN; SEA; EVOLUTION; PENINSULA; MODEL; MAGMATISM; EXTENSION</t>
  </si>
  <si>
    <t>Regional surface wave tomography in the sub-Antarctic Scotia Sea is helpful in revealing the nature of the crust and the S-wave seismic velocity profile beneath the Bransfield Strait. The joint use of our regional network, global seismographic network stations and local temporary arrays provide better lateral resolution than that obtained in our previous studies concerning the Scotia Sea region. Tomographic analysis of data obtained using 10 broad band seismic stations and more than 300 regional events, shows that the Bransfield Basin is characterised by a strong group velocity reduction of 8% with respect to the surrounding areas, in the period range from 15 s to 50 s. The crustal and upper mantle models of the eastern, central and western Bransfield Basin are obtained by joint inversion of Rayleigh and Love local dispersion curves from 15 s to 50 s. In addition our data set is expanded to a broader period interval (1-80 s), in central Bransfield Strait in order to better constrain the upper mantle and shallow crust. The main results can be summarized as follows: (a) the crust thins distinctly from W toward E; the variation is consistent with the type of volcanism, earthquake distribution and bathymetric observations, (b) low upper mantle velocities (soft lid) extend down to depths exceeding 70 km as a consequence of elevated temperatures, (c) the crust beneath the central Bransfield Basin displays continental characteristics with a gradually increasing S-wave velocity distribution versus depth analogous to the East African Rift structure of Kenya, (d) negative velocity gradients are present in the lower crust beneath the eastern Bransfield Basin; these could be interpreted as magmatic bodies originating from decompression melting of the mantle. (c) 2004 Elsevier B.V. All rights reserved.</t>
  </si>
  <si>
    <t>Ist Nazl Oceanog &amp; Geofis Sperimentale, CRS, Dipartimento Ctr Ric Sismol, I-34010 Trieste, Italy; Washington Univ, Dept Earth &amp; Planetary Sci, St Louis, MO 63130 USA; Univ Trieste, Dipartimento Sci Terra, I-34126 Trieste, Italy; Abdus Salam Int Ctr Theoret Phys, Trieste, Italy</t>
  </si>
  <si>
    <t>Istituto Nazionale di Oceanografia e di Geofisica Sperimentale; Washington University (WUSTL); University of Trieste; Abdus Salam International Centre for Theoretical Physics (ICTP)</t>
  </si>
  <si>
    <t>Ist Nazl Oceanog &amp; Geofis Sperimentale, CRS, Dipartimento Ctr Ric Sismol, Borgo Grotta Gigante 42C, I-34010 Trieste, Italy.</t>
  </si>
  <si>
    <t>avuan@inogs.it</t>
  </si>
  <si>
    <t>Vuan, Alessandro/GLR-3168-2022; Vuan, Alessandro/AAC-9665-2021; Wiens, Douglas/J-9259-2016; Vuan, Alessandro/B-7115-2014</t>
  </si>
  <si>
    <t>Wiens, Douglas/0000-0002-5169-4386; Giuliano, Panza/0000-0003-3504-3038; Vuan, Alessandro/0000-0001-5536-1717</t>
  </si>
  <si>
    <t>0040-1951</t>
  </si>
  <si>
    <t>1879-3266</t>
  </si>
  <si>
    <t>Tectonophysics</t>
  </si>
  <si>
    <t>MAR 16</t>
  </si>
  <si>
    <t>10.1016/j.tecto.2004.12.011</t>
  </si>
  <si>
    <t>908YL</t>
  </si>
  <si>
    <t>WOS:000227826000005</t>
  </si>
  <si>
    <t>Antarctic climate change during the last 50 years</t>
  </si>
  <si>
    <t>Antarctica; climate variability; temperature; pressure; wind speed</t>
  </si>
  <si>
    <t>SEA-ICE-EXTENT; TEMPERATURE; VARIABILITY; PENINSULA; TRENDS; OSCILLATION; REANALYSIS; LEVEL</t>
  </si>
  <si>
    <t>The Reference Antarctic Data for Environmental Research (READER) project data set of monthly mean Antarctic near-surface temperature, mean sea-level pressure (MSLP) and wind speed has been used to investigate trends in these quantities over the last 50 years for 19 stations with long records. Eleven of these had warming trends and seven had cooling trends in their annual data (one station had too little data to allow an annual trend to be computed), indicating the spatial complexity of change that has occurred across the Antarctic in recent decades. The Antarctic Peninsula has experienced a major warming over the last 50 years, with temperatures at Faraday/Vernadsky station having increased at a rate of 0.56 degrees C decade over the year and 1.09 degrees C decade(-1) during the winter; both figures are statistically significant at less than the 5% level. Overlapping 30 year trends of annual mean temperatures indicate that, at all but two of the 10 coastal stations for which trends could be computed back to 1961, the warming trend was greater (or the cooling trend less) during the 1961-90 period compared with 1971-2000. All the continental stations for which MSLP data were available show negative trends in the annual mean pressures over the full length of their records, which we attribute to the trend in recent decades towards the Southern Hemisphere annular mode (SAM) being in its high-index state. Except for Halley, where the trends are constant, the MSLP trends for all stations on the Antarctic continent for 1971-2000 were more negative than for 1961-90. All but two of the coastal stations have recorded increasing mean wind speeds over recent decades, which is also consistent with the change in the nature of the SAM. Copyright (c) 2005 Royal Meteorological Society.</t>
  </si>
  <si>
    <t>British Antarctic Survey, NERC, Cambridge CB3 0ET, England; Penn State Univ, Coll Earth &amp; Mineral Sci, University Pk, PA 16802 USA; Univ E Anglia, Climat Res Unit, Norwich NR4 7TJ, Norfolk, England; Arctic &amp; Antarctic Res Inst, St Petersburg 199226, Russia; Bur Meteorol, Natl Climate Ctr, Melbourne, Vic, Australia; Main Geophys Observ, Dept Dynam Meteorol, St Petersburg, Russia</t>
  </si>
  <si>
    <t>UK Research &amp; Innovation (UKRI); Natural Environment Research Council (NERC); NERC British Antarctic Survey; Pennsylvania Commonwealth System of Higher Education (PCSHE); Pennsylvania State University; Pennsylvania State University - University Park; University of East Anglia; Arctic &amp; Antarctic Research Institute; Bureau of Meteorology - Australia</t>
  </si>
  <si>
    <t>Turner, J (corresponding author), British Antarctic Survey, NERC, High Cross,Madingley Rd, Cambridge CB3 0ET, England.</t>
  </si>
  <si>
    <t>J.Turer@bas.ac.uk</t>
  </si>
  <si>
    <t>Jones, Philip Douglas/0000-0001-5032-5493; Turner, John/0000-0002-6111-5122</t>
  </si>
  <si>
    <t>MAR 15</t>
  </si>
  <si>
    <t>10.1002/joc.1130</t>
  </si>
  <si>
    <t>909OU</t>
  </si>
  <si>
    <t>WOS:000227870000001</t>
  </si>
  <si>
    <t>Li, Y; Cai, W; Campbell, EP</t>
  </si>
  <si>
    <t>Statistical modeling of extreme rainfall in southwest Western Australia</t>
  </si>
  <si>
    <t>ANTARCTIC OSCILLATION; DATA SET; CIRCULATION; TRENDS; PRECIPITATION; VARIABILITY; PROBABILITY; MAXIMUM; MODES; ORDER</t>
  </si>
  <si>
    <t>Rainfall over southwest Western Australia (SWWA; 32 degrees S southward and 118 degrees E westward) has been decreasing over the past decades, putting further constraints on water resources in an already dry area. In this study, daily rainfall over five geographically dispersed and homogenized weather stations within SWWA are analyzed. A peak over threshold method from the extreme value theory is used to model daily rainfall above a given threshold. The Mann-Whitney-Pittitt (change point) test was applied to detect changes in annual, winter (May-October), and summer (November-April) maximum daily rainfall. Change points for winter extreme daily rainfall were found around 1965, based on different individual stations, with the extreme daily rainfall reduced since then. To demonstrate the degree of change in the winter extreme daily rainfall, at 1965 the data were stratified, and generalized Pareto distributions were fitted to the tails of the distributions for daily rainfall in the prechange period of 1930-65 (including 1965) and the postchange period of 1966-2001. The fitted tail distributions also allow the estimation of probabilities and return periods of the daily rainfall extreme. Results show that return periods for the winter extreme daily rainfall have increased after 1965, implying that winter daily rainfall extremes in SWWA are lower after 1965 than they were before. There has been vigorous debate as to what forces the drying trend, that is, whether it is part of multidecadal variability or whether it is driven by secular forcings, such as increasing atmospheric CO2 concentration. In this paper, statistical modeling is also used to identify possible associated changes in atmospheric circulation. It is found that there is a change point near 1965 in a dominant atmospheric circulation mode of the Antarctic Oscillation (AAO). The result offers qualified support for the argument that the AAO may contribute to the drying trend.</t>
  </si>
  <si>
    <t>CSIRO, Wembley, WA 6913, Australia; CSIRO, Aspendale, Vic, Australia</t>
  </si>
  <si>
    <t>CSIRO, Private Bag 5, Wembley, WA 6913, Australia.</t>
  </si>
  <si>
    <t>yun.li@csiro.au</t>
  </si>
  <si>
    <t>Li, Yun/ABZ-6481-2022; Campbell, Edward/F-1509-2010; Li, Yun/E-8569-2010; Cai, Wenju/C-2864-2012</t>
  </si>
  <si>
    <t>10.1175/JCLI-3296.1</t>
  </si>
  <si>
    <t>911NZ</t>
  </si>
  <si>
    <t>WOS:000228012600008</t>
  </si>
  <si>
    <t>Garcia, CAE; Garcia, VMT; McClain, CR</t>
  </si>
  <si>
    <t>Evaluation of SeaWiFS chlorophyll algorithms in the Southwestern Atlantic and Southern Oceans</t>
  </si>
  <si>
    <t>REMOTE SENSING OF ENVIRONMENT</t>
  </si>
  <si>
    <t>ocean color; SeaWiFS; chlorophyll; Southwestern Atlantic Ocean; Southern Ocean</t>
  </si>
  <si>
    <t>ANTARCTIC PENINSULA WATERS; BIOOPTICAL PROPERTIES; COLOR ALGORITHMS; SEA; VALIDATION; SURFACE; VARIABILITY; AMERICA; BIOMASS; REGION</t>
  </si>
  <si>
    <t>Bio-optical measurements of spectral upwelling radiance and surface chlorophyll-a concentration have been conducted during 15 cruises between 1995 and 2004. The bio-optical data were divided into two sub-sets: the Southwestern Atlantic Ocean (SwAO), comprising a variety of biogeochemical provinces, from the oligotrophic waters in the South Atlantic gyre to the coastal waters influenced by La Plata River and Palos Lagoon discharge, and the Southern Ocean (SO) data set, comprising sampling stations south of the mean position of the Polar Front, with most stations being located in the vicinity of the Antarctic Peninsula. We derived regional chlorophyll algorithms for both regions and comparisons were made with the NASA's OC4v4 (operational algorithm) and OC2v4. For the Southwestern Atlantic region, the NASA OC4v4 algorithm presented a reasonable performance (r(2)=0.87, rmse-L=0.475, N=136) as compared to the revised algorithm for SwAO data (r(2)=0.89, rmse-L=0.426, N=136). A few stations under strong river plume influence were not considered in the analyses. These were detected by a higher reflectance at 670 nm, at low in situ chlorophyll concentration (&lt; 2 mg m(-3)). These results show that empirical algorithms applied to in-situ radiance data have a limited ability to extract accurate chlorophyll estimates below a 30% uncertainty level. For Southern Ocean stations, a 2-band linear-type model was generated (r(2)=0.64, rmse-L=0.347, N=77), which significantly improved the bias (6.4%) as compared to NASA's OC4v4 algorithm (bias=-21.7%). An evaluation of some published high-latitude algorithms on our data set has shown a better performance by taxon-specific models, even from distant regions. A validation experiment of the normalized spectral water-leaving radiances and chlorophyll-a SeaWiFS products was also conducted using the FURG-SwAO/SO data set, through a match-up exercise. Despite the relatively low number of pairs of radiometric measurements, SeaWiFS estimations compare well with in situ data (0.77 &lt; r(2)&lt; 0.98, N=21), although the satellite estimate show a marked bias (-35.6%) in the blue band nL(w) (412). Regarding the chlorophyll-a concentration, an overall agreement was observed (r(2)=0.77, rmse-L=0.66, N=28), with a mean absolute percentage difference of 66%, which is above the goal generally accepted of 35% for satellite ocean color chlorophyll estimates. For the studied Southern Ocean area (mainly the Bransfield Strait), NASA's OC4v4 algorithm systematically underestimates chlorophyll above 0.2 mg m(-3), as previously demonstrated by other researchers. (c) 2005 Elsevier Inc. All rights reserved.</t>
  </si>
  <si>
    <t>Univ Fed Rio Grande, Dept Oceanog, Rio Grande, Brazil; Univ Fed Rio Grande, Dept Phys, Rio Grande, Brazil; NASA, Goddard Space Flight Ctr, Greenbelt, MD 20771 USA</t>
  </si>
  <si>
    <t>Universidade Federal do Rio Grande; Universidade Federal do Rio Grande; National Aeronautics &amp; Space Administration (NASA); NASA Goddard Space Flight Center</t>
  </si>
  <si>
    <t>Univ Fed Rio Grande, Dept Oceanog, Rio Grande, Brazil.</t>
  </si>
  <si>
    <t>dfsgar@furg.br; docvmtg@furg.br; Charles.R.McClain@nasa.gov</t>
  </si>
  <si>
    <t>Garcia, Carlos A. E./K-7382-2012; Tavano, Virginia/C-5241-2013</t>
  </si>
  <si>
    <t>Tavano, Virginia/0000-0003-0039-8111</t>
  </si>
  <si>
    <t>360 PARK AVE SOUTH, NEW YORK, NY 10010-1710 USA</t>
  </si>
  <si>
    <t>0034-4257</t>
  </si>
  <si>
    <t>1879-0704</t>
  </si>
  <si>
    <t>REMOTE SENS ENVIRON</t>
  </si>
  <si>
    <t>Remote Sens. Environ.</t>
  </si>
  <si>
    <t>10.1016/j.rse.2004.12.006</t>
  </si>
  <si>
    <t>Environmental Sciences; Remote Sensing; Imaging Science &amp; Photographic Technology</t>
  </si>
  <si>
    <t>Environmental Sciences &amp; Ecology; Remote Sensing; Imaging Science &amp; Photographic Technology</t>
  </si>
  <si>
    <t>905BJ</t>
  </si>
  <si>
    <t>WOS:000227542200010</t>
  </si>
  <si>
    <t>Swift, JH; Aagaard, K; Timokhov, L; Nikiforov, EG</t>
  </si>
  <si>
    <t>Long-term variability of Arctic Ocean waters: Evidence from a reanalysis of the EWG data set</t>
  </si>
  <si>
    <t>PACIFIC WATER; COLD HALOCLINE; ATLANTIC-OCEAN; TEMPERATURE; CIRCULATION; TRANSPORT; MAKAROV; TRACER; BASIN; ICE</t>
  </si>
  <si>
    <t>We have examined interannual to decadal variability of water properties in the Arctic Ocean using an enhanced version of the 1948-1993 data released earlier under the Gore-Chernomyrdin environmental bilateral agreement. That earlier data set utilized gridded fields with decadal time resolution, whereas we have developed a data set with annual resolution. We find that beginning about 1976, most of the upper Arctic Ocean became significantly saltier, possibly related to thinning of the arctic ice cover. There are also indications that a more local upper ocean salinity increase in the Eurasian Basin about 1989 may not have originated on the shelf, as had been suggested earlier. In addition to the now well-established warming of the Atlantic layer during the early 1990s, there was a similar cyclonically propagating warm event during the 1950s. More remarkable, however, was a pervasive Atlantic layer warming throughout most of the Arctic Ocean from 1964-1969, possibly related to reduced vertical heat loss associated with increased upper ocean stratification. A cold period prevailed during most of the 1970s and 1980s, with several very cold events appearing to originate near the Kara and Laptev shelves. Finally, we find that the silicate maximum in the central Arctic Ocean halocline eroded abruptly in the mid-1980s, demonstrating that the redistribution of Pacific waters and the warming of the Atlantic layer reported from other observations during the 1990s were distinct events separated in time by perhaps 5 years. We have made the entire data set publicly available.</t>
  </si>
  <si>
    <t>Univ Calif San Diego, Scripps Inst Oceanog, La Jolla, CA 92093 USA; Univ Washington, Appl Phys Lab, Seattle, WA 98105 USA; Arctic &amp; Antarctic Res Inst, St Petersburg 199397, Russia</t>
  </si>
  <si>
    <t>University of California System; University of California San Diego; Scripps Institution of Oceanography; University of Washington; University of Washington Seattle; Arctic &amp; Antarctic Research Institute</t>
  </si>
  <si>
    <t>Univ Calif San Diego, Scripps Inst Oceanog, 0214,9500 Gilman Dr, La Jolla, CA 92093 USA.</t>
  </si>
  <si>
    <t>MAR 12</t>
  </si>
  <si>
    <t>C3</t>
  </si>
  <si>
    <t>C03012</t>
  </si>
  <si>
    <t>10.1029/2004JC002312</t>
  </si>
  <si>
    <t>906LK</t>
  </si>
  <si>
    <t>WOS:000227642300001</t>
  </si>
  <si>
    <t>Ricaud, P; Lefèvre, F; Berthet, G; Murtagh, D; Llewellyn, EJ; Mégie, G; Kyrölä, E; Leppelmeier, GW; Auvinen, H; Boonne, C; Brohede, S; Degenstein, DA; de La Noë, J; Dupuy, E; El Amraoui, L; Eriksson, P; Evans, WFJ; Frisk, U; Gattinger, RL; Girod, F; Haley, CS; Hassinen, S; Hauchecorne, A; Jimenez, C; Kyrö, E; Lautié, N; Le Flochmoën, E; Lloyd, ND; McCconnell, JC; McDade, IC; Nordh, L; Olberg, M; Pazmino, A; Petelina, SV; Sandqvist, A; Seppälä, A; Sioris, CE; Solheim, BH; Stegman, J; Strong, K; Taalas, P; Urban, J; von Savigny, C; von Scheele, F; Witt, G</t>
  </si>
  <si>
    <t>Polar vortex evolution during the 2002 Antarctic major warming as observed by the Odin satellite -: art. no. D05302</t>
  </si>
  <si>
    <t>3-DIMENSIONAL MODEL SIMULATIONS; STRATOSPHERIC OZONE PROFILES; POAM-III OBSERVATIONS; SUBMILLIMETER RADIOMETER; OSIRIS INSTRUMENT; MCMURDO-STATION; RETRIEVAL; HNO3; CLO; WINTER</t>
  </si>
  <si>
    <t>In September 2002 the Antarctic polar vortex split in two under the influence of a sudden warming. During this event, the Odin satellite was able to measure both ozone (O-3) and chlorine monoxide (ClO), a key constituent responsible for the so-called ozone hole'', together with nitrous oxide (N2O), a dynamical tracer, and nitric acid (HNO3) and nitrogen dioxide (NO2), tracers of denitrification. The submillimeter radiometer (SMR) microwave instrument and the Optical Spectrograph and Infrared Imager System (OSIRIS) UV-visible light spectrometer (VIS) and IR instrument on board Odin have sounded the polar vortex during three different periods: before (19-20 September), during (24-25 September), and after (1-2 and 4-5 October) the vortex split. Odin observations coupled with the Reactive Processes Ruling the Ozone Budget in the Stratosphere (REPROBUS) chemical transport model at and above 500 K isentropic surfaces (heights above 18 km) reveal that on 19-20 September the Antarctic vortex was dynamically stable and chemically nominal: denitrified, with a nearly complete chlorine activation, and a 70% O-3 loss at 500 K. On 25-26 September the unusual morphology of the vortex is monitored by the N2O observations. The measured ClO decay is consistent with other observations performed in 2002 and in the past. The vortex split episode is followed by a nearly complete deactivation of the ClO radicals on 1-2 October, leading to the end of the chemical O-3 loss, while HNO3 and NO2 fields start increasing. This acceleration of the chlorine deactivation results from the warming of the Antarctic vortex in 2002, putting an early end to the polar stratospheric cloud season. The model simulation suggests that the vortex elongation toward regions of strong solar irradiance also favored the rapid reformation of ClONO2. The observed dynamical and chemical evolution of the 2002 polar vortex is qualitatively well reproduced by REPROBUS. Quantitative differences are mainly attributable to the too weak amounts of HNO3 in the model, which do not produce enough NO2 in presence of sunlight to deactivate chlorine as fast as observed by Odin.</t>
  </si>
  <si>
    <t>OASU, L3AB, F-33270 Floirac, France; Finnish Meteorol Inst, Dept Geophys, FIN-00101 Helsinki, Finland; Chalmers, Dept Radio &amp; Space Sci, SE-41296 Gothenburg, Sweden; Univ Saskatchewan, Inst Space &amp; Atmospher Studies, Saskatoon, SK S7N 5E2, Canada; Trent Univ, Dept Phys, Peterborough, ON K9J 7B8, Canada; Swedish Space Corp, SE-17104 Solna, Sweden; Ctr Natl Etud Spatiales, F-31401 Toulouse, France; York Univ, Ctr Res Earth &amp; Space Sci, Toronto, ON M3J 1P3, Canada; SCFAB, Stockholm Observ, SE-10691 Stockholm, Sweden; Harvard Smithsonian Ctr Astrophys, Cambridge, MA 02138 USA; Univ Stockholm, Dept Meteorol, SE-10691 Stockholm, Sweden; Univ Toronto, Dept Phys, Toronto, ON M5S 1A7, Canada; Univ Bremen, Inst Environm Phys, D-28359 Bremen, Germany</t>
  </si>
  <si>
    <t>Centre National de la Recherche Scientifique (CNRS); Universite Bordeaux-Montaigne; Universite de Bordeaux; Finnish Meteorological Institute; Chalmers University of Technology; University of Saskatchewan; Trent University; Swedish Space Corporation (SSC); York University - Canada; Stockholm University; Smithsonian Institution; Smithsonian Astrophysical Observatory; Harvard University; Stockholm University; University of Toronto; University of Bremen</t>
  </si>
  <si>
    <t>Observ Midi Pyrenees, Lab Aerol, F-31400 Toulouse, France.</t>
  </si>
  <si>
    <t>philippe.ricaud@aero.obsmip.fr</t>
  </si>
  <si>
    <t>Berthet, Gwenael/H-8010-2018; Ricaud, Philippe/AAC-2991-2020; Kyrölä, Erkki T/E-1835-2014; Hauchecorne, Alain/A-8489-2013; satellite, aeronomy mission The Odin/F-1671-2011; Eriksson, Patrick/A-5321-2009; von Savigny, Christian/B-3910-2014; Seppälä, Annika/C-8031-2014; Urban, Jo/F-9172-2010; Strong, Kimberly/D-2563-2012; /F-8694-2011</t>
  </si>
  <si>
    <t>Eriksson, Patrick/0000-0002-8475-0479; Seppälä, Annika/0000-0002-5028-8220; Urban, Jo/0000-0001-7026-793X; von Savigny, Christian/0000-0001-7926-3986; Strong, Kimberly/0000-0001-9947-1053; Hauchecorne, Alain/0000-0001-9888-6994; Sioris, Christopher/0000-0003-1168-8755; /0000-0003-1539-3559; Kyrola, Erkki/0000-0001-9197-9549</t>
  </si>
  <si>
    <t>MAR 11</t>
  </si>
  <si>
    <t>D5</t>
  </si>
  <si>
    <t>D05302</t>
  </si>
  <si>
    <t>10.1029/2004JD005018</t>
  </si>
  <si>
    <t>906LD</t>
  </si>
  <si>
    <t>WOS:000227641500003</t>
  </si>
  <si>
    <t>Chapman, SC; Rowlands, G; Watkins, NW</t>
  </si>
  <si>
    <t>Scaling and commonality in anomalous fluctuation statistics in models for turbulence and ferromagnetism</t>
  </si>
  <si>
    <t>JOURNAL OF PHYSICS A-MATHEMATICAL AND GENERAL</t>
  </si>
  <si>
    <t>2-DIMENSIONAL XY MODEL; UNIVERSAL FLUCTUATIONS; CORRELATED SYSTEMS</t>
  </si>
  <si>
    <t>Recently, Portelli et al (2003), Phys. Rev. Lett. 90 104501 have semi-numerically obtained a functional form of the probability distribution of fluctuations in the total energy flow in a model for fluid turbulence. This follows earlier work suggesting that fluctuations in the total magnetization in the 2D XY model for a ferromagnet also follow this distribution. Here, starting from the scaling ansatz that is the basis of the turbulence model we analytically derive the functional form of this distribution and find its single control parameter that depends upon the scaling exponents and system size of the model. Our analysis allows us to identify this explicitly with that of the XY model, and suggest a possible generalization.</t>
  </si>
  <si>
    <t>Univ Warwick, Warwick, England; Harvard Univ, Radcliffe Inst Adv Study, Cambridge, MA 02138 USA; British Antarctic Survey, NERC, Cambridge CB3 0ET, England</t>
  </si>
  <si>
    <t>University of Warwick; Harvard University; UK Research &amp; Innovation (UKRI); Natural Environment Research Council (NERC); NERC British Antarctic Survey</t>
  </si>
  <si>
    <t>Univ Warwick, Warwick, England.</t>
  </si>
  <si>
    <t>Chapman, Sandra/C-2216-2008; Watkins, Nicholas Wynn/C-5140-2008; Watkins, Nick/GPX-7439-2022</t>
  </si>
  <si>
    <t>Chapman, Sandra/0000-0003-0053-1584; Watkins, Nicholas Wynn/0000-0003-4484-6588; Watkins, Nick/0000-0003-4484-6588</t>
  </si>
  <si>
    <t>0305-4470</t>
  </si>
  <si>
    <t>J PHYS A-MATH GEN</t>
  </si>
  <si>
    <t>J. Phys. A-Math. Gen.</t>
  </si>
  <si>
    <t>10.1088/0305-4470/38/10/016</t>
  </si>
  <si>
    <t>Physics, Multidisciplinary; Physics, Mathematical</t>
  </si>
  <si>
    <t>911UL</t>
  </si>
  <si>
    <t>WOS:000228030900016</t>
  </si>
  <si>
    <t>Kriwet, J</t>
  </si>
  <si>
    <t>Additions to the Eocene selachian fauna of Antarctica, with comments on Antarctic selachian diversity</t>
  </si>
  <si>
    <t>JOURNAL OF VERTEBRATE PALEONTOLOGY</t>
  </si>
  <si>
    <t>SEYMOUR-ISLAND</t>
  </si>
  <si>
    <t>Antarctic Eocene selachians were reported from the La Meseta Formation of Seymour Island and from glacial erratics of Mount Discovery, Antarctica. Seymour Island has produced the most diverse Palaeogene selachian fauna of the Southern Hemisphere so far. Up to now, 23 selachian taxa (20 sharks, 2 rays) have been described from the Eocene of Antarctica. Recent geological and palaeontological investigations on Seymour Island yielded new selachian remains from Lutetian (middle Eocene) deposits. An upper tooth is referred to the requiem shark Carcharhinits and a rostral spine to the sawfish Pristis. These occurrences represent the first Eocene records of both groups in the Southern Hemisphere and extend their geographic distribution. In addition, a fragmentary stinging ray attributed to Myliobatoidea is presented for the first time from Antarctica. The diversity of Eocene La Meseta fishes is reflected.</t>
  </si>
  <si>
    <t>Univ Munich, Fac Geosci, Dept Earth &amp; Environm Sci, Sect Paleontol, D-80333 Munich, Germany</t>
  </si>
  <si>
    <t>University of Munich</t>
  </si>
  <si>
    <t>Kriwet, J (corresponding author), Univ Munich, Fac Geosci, Dept Earth &amp; Environm Sci, Sect Paleontol, Richard Wagner Str 10, D-80333 Munich, Germany.</t>
  </si>
  <si>
    <t>j.kriwet@lrz.uni-muenchen.de</t>
  </si>
  <si>
    <t>Kriwet, Jürgen/B-3165-2011</t>
  </si>
  <si>
    <t>Kriwet, Jurgen/0000-0002-6439-8455</t>
  </si>
  <si>
    <t>TAYLOR &amp; FRANCIS INC</t>
  </si>
  <si>
    <t>PHILADELPHIA</t>
  </si>
  <si>
    <t>530 WALNUT STREET, STE 850, PHILADELPHIA, PA 19106 USA</t>
  </si>
  <si>
    <t>0272-4634</t>
  </si>
  <si>
    <t>1937-2809</t>
  </si>
  <si>
    <t>J VERTEBR PALEONTOL</t>
  </si>
  <si>
    <t>J. Vertebr. Paleontol.</t>
  </si>
  <si>
    <t>10.1671/0272-4634(2005)025[0001:ATTESF]2.0.CO;2</t>
  </si>
  <si>
    <t>905NI</t>
  </si>
  <si>
    <t>WOS:000227575000001</t>
  </si>
  <si>
    <t>Rogers, AD</t>
  </si>
  <si>
    <t>Concern over deep-sea reefs is widespread</t>
  </si>
  <si>
    <t>Letter</t>
  </si>
  <si>
    <t>Rogers, AD (corresponding author), British Antarctic Survey, NERC, High Cross,Madingley Rd, Cambridge CB3 0ET, England.</t>
  </si>
  <si>
    <t>Rogers, Alex David/0000-0002-4864-2980</t>
  </si>
  <si>
    <t>MAR 10</t>
  </si>
  <si>
    <t>10.1038/434137b</t>
  </si>
  <si>
    <t>904JU</t>
  </si>
  <si>
    <t>WOS:000227494500016</t>
  </si>
  <si>
    <t>Hofmann, GE; Lund, SG; Place, SP; Whitmer, AC</t>
  </si>
  <si>
    <t>Some like it hot, some like it cold: the heat shock response is found in New Zealand but not Antarctic notothenioid fishes</t>
  </si>
  <si>
    <t>antarctica; Bovichtus variegatus; heat shock proteins; heat shock response; notothemoidei; Notothenia angustata</t>
  </si>
  <si>
    <t>INDUCIBLE HSP70 GENE; THRESHOLD INDUCTION TEMPERATURE; ACCLIMATION-INDUCED VARIATION; MESSENGER-RNA; PROTEIN EXPRESSION; MOLECULAR CHAPERONES; SEASONAL-CHANGES; FACTOR-1 HSF1; IN-VIVO; EVOLUTION</t>
  </si>
  <si>
    <t>Previous research on Antarctic notothenioids has demonstrated that cells of cold-adapted Antarctic notothenioids lack a common cellular defense mechanism called the heat shock response (HSR), the induction of a family of heat shock proteins (Hsps) in response to elevated temperatures. The goal of this study was to address how widespread the loss of the HSR is within the Notothemoidei suborder and, specifically, to ask whether cold temperate non-Antarctic notothenioids possess the HSR. In general, Antarctic fish have provided an important opportunity for physiologists to examine responses to selection in the environment and to ask whether traits of the notothenioids represent cold adaptation, or whether the traits are related to history and are characteristics of the notothenioid lineage. Using in vivo metabolic labeling, results indicate that one of the two New Zealand notothenioids possess an HSR. The thornfish, Bovichtus variegatus Richardson, 1846, expressed heat shock proteins (Hsp) in response to heat stress, whereas the black cod, Notothenia angustata Hutton, 1875, did not display robust stress-inducible Hsp synthesis at the protein-level. However, further analysis using Northern blotting clearly demonstrated that mRNA for a common Hsp gene, hsp70, was present in cells of both New Zealand species following exposure to elevated temperatures. Overall, combined evidence on the HSR in notothenioid fishes from temperate New Zealand waters indicate that the loss of the HSR in Antarctic notothenioid fishes occurred after the separation of Bovichtidae from the other Antarctic notothenioid families, and that the HSR was most likely lost during evolution at cold and constant environmental temperatures. (c) 2004 Elsevier B.V. All rights reserved.</t>
  </si>
  <si>
    <t>hofinann@lifesci.ucsb.edu</t>
  </si>
  <si>
    <t>MAR 9</t>
  </si>
  <si>
    <t>10.1016/j.jembe.2004.10.007</t>
  </si>
  <si>
    <t>905LO</t>
  </si>
  <si>
    <t>WOS:000227569900007</t>
  </si>
  <si>
    <t>Larour, E; Rignot, E; Joughin, I; Aubry, D</t>
  </si>
  <si>
    <t>Rheology of the Ronne Ice Shelf, Antarctica, inferred from satellite radar interferometry data using an inverse control method</t>
  </si>
  <si>
    <t>MASS-BALANCE; FILCHNER; OCEAN; ELEVATION; DYNAMICS; SHEETS; STREAM</t>
  </si>
  <si>
    <t>The Antarctic Ice Sheet is surrounded by large floating ice shelves that spread under their own weight into the ocean. Ice shelf rigidity depends on ice temperature and fabrics, and is influenced by ice flow and the delicate balance between bottom and surface accumulation. Here, we use an inverse control method to infer the rigidity of the Ronne Ice Shelf that best matches observations of ice velocity from satellite radar interferometry. Ice rigidity, or flow law parameter B, is shown to vary between 300 and 900 kPa a(1/3). Ice is softer along the side margins due to frictional heating, and harder along the outflow of large glaciers, which advect cold continental ice. Melting at the bottom surface of the ice shelf increases its rigidity, while freezing decreases it. Accurate numerical modelling of ice shelf flow must account for this spatial variability in mechanical characteristics.</t>
  </si>
  <si>
    <t>CALTECH, Jet Prop Lab, Pasadena, CA 91109 USA; Ecole Cent Paris, Lab Mecan Sols Struct &amp; Mat, F-92295 Chatenay Malabry, France</t>
  </si>
  <si>
    <t>California Institute of Technology; National Aeronautics &amp; Space Administration (NASA); NASA Jet Propulsion Laboratory (JPL); Universite Paris Saclay</t>
  </si>
  <si>
    <t>Larour, E (corresponding author), CALTECH, Jet Prop Lab, 4800 Oak Grove Dr,MS 200-227, Pasadena, CA 91109 USA.</t>
  </si>
  <si>
    <t>eric.larour@jpl.nasa.gov</t>
  </si>
  <si>
    <t>Joughin, Ian R/A-2998-2008; Aubry, Denis/M-7880-2014; Rignot, Eric/A-4560-2014; Joughin, Ian/AAR-7778-2021</t>
  </si>
  <si>
    <t>Joughin, Ian R/0000-0001-6229-679X; Rignot, Eric/0000-0002-3366-0481; Joughin, Ian/0000-0001-6229-679X</t>
  </si>
  <si>
    <t>MAR 8</t>
  </si>
  <si>
    <t>L05503</t>
  </si>
  <si>
    <t>10.1029/2004GL021693</t>
  </si>
  <si>
    <t>906KW</t>
  </si>
  <si>
    <t>WOS:000227640700001</t>
  </si>
  <si>
    <t>Raper, SCB; Braithwaite, RJ</t>
  </si>
  <si>
    <t>The potential for sea level rise: New estimates from glacier and ice cap area and volume distributions</t>
  </si>
  <si>
    <t>Projections of sea-level rise from mountain glaciers and ice caps for the next century and beyond should be based on an assessment of the ice available for melting. Projections to date are based on all regions except Greenland and Antarctica (the latter are considered separately by the IPCC), yet no sound estimates for the appropriate volume of ice and its potential for sea level rise are evident in the literature. An ice cap data set is compiled allowing the separate treatment of glacier area coverage data. Glacier inventory data are comprehensive enough in some regions to allow the estimation of glacier size distributions. The differences in the distributions are related to a metric of the regional topographic variability, allowing glacier size distributions to be estimated on a 1 degrees latitude longitude grid of cells containing glaciers. Appropriate volume-area scaling for glaciers and for ice caps gives global estimates of glacier and ice cap volumes by size class. This leads to an estimate of the total ice volume of 0.087 +/- 0.010 10(6) km(3) and a sea level rise equivalent of 0.241 +/- 0.026 m. The glaciers and ice caps contribute 41% and 59% to these estimates respectively. These values are based on data sets compiled during several decades, mainly in the second half of the 20th Century. We compare our results to published results that include the glaciers and icecaps at the margins of the Greenland and Antarctic ice sheets.</t>
  </si>
  <si>
    <t>Alfred Wegener Inst Polar &amp; Marine Res, D-27515 Bremerhaven, Germany; Univ Manchester, Sch Environm &amp; Dev, Manchester M13 9PL, Lancs, England</t>
  </si>
  <si>
    <t>Helmholtz Association; Alfred Wegener Institute, Helmholtz Centre for Polar &amp; Marine Research; University of Manchester</t>
  </si>
  <si>
    <t>Alfred Wegener Inst Polar &amp; Marine Res, D-27515 Bremerhaven, Germany.</t>
  </si>
  <si>
    <t>sraper@awi-bremerhaven.de; r.braithwaite@man.ac.uk</t>
  </si>
  <si>
    <t>Braithwaite, Roger/HOF-8499-2023; Braithwaite, Roger James/AGW-0328-2022</t>
  </si>
  <si>
    <t>Braithwaite, Roger/0000-0002-0387-7591</t>
  </si>
  <si>
    <t>L05502</t>
  </si>
  <si>
    <t>10.1029/2004GL021981</t>
  </si>
  <si>
    <t>WOS:000227640700005</t>
  </si>
  <si>
    <t>Hirawake, T; Odate, T; Fukuchi, M</t>
  </si>
  <si>
    <t>Long-term variation of surface phytoplankton chlorophyll a in the Southern Ocean during 1965-2002 -: art. no. L05606</t>
  </si>
  <si>
    <t>ANTARCTIC CIRCUMPOLAR WAVE; SEA-ICE; CIRCULATION</t>
  </si>
  <si>
    <t>[1] The variation in the phytoplankton biomass over a decadal time scale, and its relationship with the Antarctic Circumpolar Wave (ACW) and climate change, has been poorly interpreted because of the limited satellite chlorophyll a (chl a) data compared with the physical parameters from satellite. We analyzed a long-term chl a data set along the Japanese Antarctic Research Expedition (JARE) cruise tracks since 1965 to investigate inter-annual variation of phytoplankton biomass. In the Southern Ocean, increasing trends of chl a and the spreading of higher chl a area to the north with 3-7 year cycles were found. Although relationships between the decadal change in chl a and climate change such as variation of sea ice extent and the El Nino are still obscure, large variation of primary production in proportion to the chl a is implied.</t>
  </si>
  <si>
    <t>Natl Inst Polar Res, Itabashi Ku, Tokyo 1738515, Japan</t>
  </si>
  <si>
    <t>Research Organization of Information &amp; Systems (ROIS); National Institute of Polar Research (NIPR) - Japan</t>
  </si>
  <si>
    <t>Natl Inst Polar Res, Itabashi Ku, 9-10,Kaga 1 Chome, Tokyo 1738515, Japan.</t>
  </si>
  <si>
    <t>hirawake@nipr.ac.jp; odate@nipr.ac.jp; fukuchi@nipr.ac.jp</t>
  </si>
  <si>
    <t>MAR 5</t>
  </si>
  <si>
    <t>L05606</t>
  </si>
  <si>
    <t>10.1029/2004GL021394</t>
  </si>
  <si>
    <t>905DZ</t>
  </si>
  <si>
    <t>WOS:000227549300001</t>
  </si>
  <si>
    <t>Brauer, P; Sanmann, J</t>
  </si>
  <si>
    <t>Effects of warm acclimation on Na/K-ATPase alpha-subunit expression in chloride cells of Antarctic fish</t>
  </si>
  <si>
    <t>FASEB JOURNAL</t>
  </si>
  <si>
    <t>Experimental Biology 2005 Meeting/35th International Congress of Physiological Sciences</t>
  </si>
  <si>
    <t>MAR 31-APR 06, 2005</t>
  </si>
  <si>
    <t>Creighton Univ, Omaha, NE 68178 USA</t>
  </si>
  <si>
    <t>Creighton University</t>
  </si>
  <si>
    <t>FEDERATION AMER SOC EXP BIOL</t>
  </si>
  <si>
    <t>9650 ROCKVILLE PIKE, BETHESDA, MD 20814-3998 USA</t>
  </si>
  <si>
    <t>0892-6638</t>
  </si>
  <si>
    <t>FASEB J</t>
  </si>
  <si>
    <t>Faseb J.</t>
  </si>
  <si>
    <t>MAR 4</t>
  </si>
  <si>
    <t>A672</t>
  </si>
  <si>
    <t>Biochemistry &amp; Molecular Biology; Biology; Cell Biology</t>
  </si>
  <si>
    <t>Biochemistry &amp; Molecular Biology; Life Sciences &amp; Biomedicine - Other Topics; Cell Biology</t>
  </si>
  <si>
    <t>905ZQ</t>
  </si>
  <si>
    <t>WOS:000227610704570</t>
  </si>
  <si>
    <t>Hudson, HA; Scofield, M; Brauer, P; Petzel, D</t>
  </si>
  <si>
    <t>Water balance and the renin-angiotensin system in Antarctic fish</t>
  </si>
  <si>
    <t>Creighton Univ, Sch Med, Omaha, NE 68178 USA</t>
  </si>
  <si>
    <t>A212</t>
  </si>
  <si>
    <t>WOS:000227610701338</t>
  </si>
  <si>
    <t>Morrison, JF; Dowd, F; Scofield, M; Petzel, D</t>
  </si>
  <si>
    <t>Temperature effects on Na+,K+-ATPase in gill of Antarctic fish</t>
  </si>
  <si>
    <t>A211</t>
  </si>
  <si>
    <t>WOS:000227610701331</t>
  </si>
  <si>
    <t>Function and expression of the molecular chaperone HSP70 in Antarctic fishes</t>
  </si>
  <si>
    <t>Univ Calif Santa Barbara, Dept EEMB, Santa Barbara, CA 93106 USA</t>
  </si>
  <si>
    <t>A214</t>
  </si>
  <si>
    <t>WOS:000227610701348</t>
  </si>
  <si>
    <t>Nakamura, Y; Kiyota, H; Baker, BJ; Kuwahara, S</t>
  </si>
  <si>
    <t>First synthesis of (+)-pteroenone:: A defensive metabolite of the abducted antarctic pteropod Clione antarctica</t>
  </si>
  <si>
    <t>SYNLETT</t>
  </si>
  <si>
    <t>pteroenone; defensive metabolite; Clione antarctica; marine natural products; anti-aldol reaction</t>
  </si>
  <si>
    <t>KETONE SYNTHESIS; PTEROENONE; REAGENTS; ALKYL</t>
  </si>
  <si>
    <t>(+)-Pteroenone, a defensive metabolite of the abducted antarctic pteropod Clione antarctica, was firstly and efficiently synthesized by employing anti-selective aldol reaction as the key step.</t>
  </si>
  <si>
    <t>Tohoku Univ, Grad Sch Agr Sci, Dept Appl Bioorgan Chem, Div Biosci &amp; Biotechnol Future Bioind,Aoba Ku, Sendai, Miyagi 9818555, Japan; Univ S Florida, Dept Chem, Tampa, FL 33620 USA</t>
  </si>
  <si>
    <t>Tohoku University; State University System of Florida; University of South Florida</t>
  </si>
  <si>
    <t>Kiyota, H (corresponding author), Tohoku Univ, Grad Sch Agr Sci, Dept Appl Bioorgan Chem, Div Biosci &amp; Biotechnol Future Bioind,Aoba Ku, 1-1 Tsutsumidori, Sendai, Miyagi 9818555, Japan.</t>
  </si>
  <si>
    <t>kiyota@biochem.tohoku.ac.jp</t>
  </si>
  <si>
    <t>Nakamura, Yoko/H-9688-2015; Baker, Bill/N-4312-2019</t>
  </si>
  <si>
    <t>GEORG THIEME VERLAG KG</t>
  </si>
  <si>
    <t>STUTTGART</t>
  </si>
  <si>
    <t>RUDIGERSTR 14, D-70469 STUTTGART, GERMANY</t>
  </si>
  <si>
    <t>0936-5214</t>
  </si>
  <si>
    <t>Synlett</t>
  </si>
  <si>
    <t>10.1002/chin.200532193</t>
  </si>
  <si>
    <t>Chemistry, Organic</t>
  </si>
  <si>
    <t>Science Citation Index Expanded (SCI-EXPANDED); Index Chemicus (IC); Current Chemical Reactions (CCR-EXPANDED)</t>
  </si>
  <si>
    <t>905QF</t>
  </si>
  <si>
    <t>WOS:000227583700018</t>
  </si>
  <si>
    <t>Vlastélic, I; Carpentier, M; Lewin, E</t>
  </si>
  <si>
    <t>Miocene climate change recorded in the chemical and isotopic (Pb, Nd, Hf) signature of Southern Ocean sediments -: art. no. Q03003</t>
  </si>
  <si>
    <t>Antarctic; climate change; Miocene; radiogenic isotopes; sediments</t>
  </si>
  <si>
    <t>ATLANTIC DEEP-WATER; ANTARCTIC ICE-SHEET; NORTH-ATLANTIC; INDIAN-OCEAN; MIDDLE MIOCENE; FERROMANGANESE CRUSTS; MANGANESE NODULES; CONTINENTAL-CRUST; SOUTHWEST PACIFIC; SM-ND</t>
  </si>
  <si>
    <t>The Middle Miocene transition from carbonate to biosilica sedimentation at DSDP site 266 ( Australian-Antarctic basin) reflects a global transition toward a colder climate. The Nd-143/Nd-144, Hf-176/Hf-177, and Al/Ti of bulk sediments display systematic, coupled variations through time, which have been attributed to a change of the detrital source. This change could correspond to a reduction of input from the Antarctic continent, an increase of input from the Kerguelen volcanic province, or both. Mixing models based on Nd isotopes and Al/Ti suggest a 30-40% reduction of Antarctic input and an equivalent increase of Kerguelen input during the Miocene. Reduction of Antarctic input may result from the formation of a stable East Antarctic ice sheet. Consistently, Pb isotopes and trace element systematics suggest a change of weathering style during the Miocene, with an increase in physical weathering, or a reduction of chemical weathering, after 15 Ma. Increase of Kerguelen input may reflect the initiation, or enhancement, of the Antarctic Circumpolar Current ( ACC), thus raising the possibility of a simultaneous onset of North Atlantic Deep Water production and the ACC during the Middle Miocene. In addition, large geochemical oscillations occurred during the Pliocene, possibly reflecting fluctuation in strength of the ACC or, alternatively, periods of instability of the Antarctic ice sheet.</t>
  </si>
  <si>
    <t>Lab Geodynam Chaines Alpines, F-38041 Grenoble, France</t>
  </si>
  <si>
    <t>Communaute Universite Grenoble Alpes; Universite Grenoble Alpes (UGA)</t>
  </si>
  <si>
    <t>Vlastélic, I (corresponding author), Lab Geodynam Chaines Alpines, 1381 Rue Piscine,BP 53, F-38041 Grenoble, France.</t>
  </si>
  <si>
    <t>LEWIN, Éric/F-1451-2017</t>
  </si>
  <si>
    <t>MAR 3</t>
  </si>
  <si>
    <t>Q03003</t>
  </si>
  <si>
    <t>10.1029/2004GC000819</t>
  </si>
  <si>
    <t>905DH</t>
  </si>
  <si>
    <t>WOS:000227547400001</t>
  </si>
  <si>
    <t>von Hobe, M; Grooss, JU; Müller, R; Hrechanyy, S; Winkler, U; Stroh, F</t>
  </si>
  <si>
    <t>A re-evaluation of the ClO/Cl2O2 equilibrium constant based on stratospheric in-situ observations</t>
  </si>
  <si>
    <t>CHLORINE OXIDE DIMER; ANTARCTIC OZONE; SELF-REACTION; AB-INITIO; TEMPERATURE-DEPENDENCE; VIBRATIONAL-SPECTRA; 3 ISOMERS; CLO; PHOTOCHEMISTRY; CL2O2</t>
  </si>
  <si>
    <t>In-situ measurements of ClO and its dimer carried out during the SOLVE II/VINTERSOL-EUPLEX and ENVISAT Validation campaigns in the Arctic winter 2003 suggest that the thermal equilibrium between the dimer formation and dissociation is shifted significantly towards the monomer compared to the current JPL 2002 recommendation. Detailed analysis of observations made in thermal equilibrium allowed to re-evaluate the magnitude and temperature dependence of the equilibrium constant. A fit of the JPL format for equilibrium constants yields K-EQ=3.61 x 10(-27) exp(8167/T), but to reconcile the observations made at low temperatures with the existing laboratory studies at room temperature, a modified equation, K-EQ=5.47x10(-25)(T/300)(-2.29)exp(6969/T), is required. This format can be rationalised by a strong temperature dependence of the reaction enthalpy possibly induced by Cl2O2 isomerism effects. At stratospheric temperatures, both equations are practically equivalent. Using the equilibrium constant reported here rather than the JPL 2002 recommendation in atmospheric models does not have a large impact on simulated ozone loss. Solely at large zenith angles after sunrise, a small decrease of the ozone loss rate due to the ClO dimer cycle and an increase due to the ClO-BrO cycle ( attributed to the enhanced equilibrium ClO concentrations) is observed, the net effect being a slightly stronger ozone loss rate.</t>
  </si>
  <si>
    <t>Forschungzentrum Julich, Inst Chem &amp; Dynam Geosphare I, Stratosphare ICG I, Julich, Germany</t>
  </si>
  <si>
    <t>Forschungzentrum Julich, Inst Chem &amp; Dynam Geosphare I, Stratosphare ICG I, Julich, Germany.</t>
  </si>
  <si>
    <t>m.von.hobe@fz-juelich.de</t>
  </si>
  <si>
    <t>Müller, Rolf/ABA-8213-2021; von Hobe, Marc/A-7969-2013; Grooß, Jens-Uwe/A-7315-2013; von Hobe, Marc/N-3265-2019; Grooß, Jens-Uwe/N-3305-2019; Stroh, Fred/A-6505-2009</t>
  </si>
  <si>
    <t>Müller, Rolf/0000-0002-5024-9977; Grooß, Jens-Uwe/0000-0002-9485-866X; von Hobe, Marc/0000-0001-6034-6562; Grooß, Jens-Uwe/0000-0002-9485-866X; Stroh, Fred/0000-0002-4492-2977</t>
  </si>
  <si>
    <t>MAR 2</t>
  </si>
  <si>
    <t>10.5194/acp-5-693-2005</t>
  </si>
  <si>
    <t>902GY</t>
  </si>
  <si>
    <t>Green Submitted, gold</t>
  </si>
  <si>
    <t>WOS:000227344000003</t>
  </si>
  <si>
    <t>Dong, DH; Ihara, T; Motoshima, H; Watanabe, K</t>
  </si>
  <si>
    <t>Crystallization and preliminary X-ray crystallographic studies of a psychrophilic subtilisin-like protease Apa1 from Antarctic Pseudoalteromonas sp strain AS-11</t>
  </si>
  <si>
    <t>ACTA CRYSTALLOGRAPHICA SECTION F-STRUCTURAL BIOLOGY COMMUNICATIONS</t>
  </si>
  <si>
    <t>COLD ADAPTATION; EGLIN-C; STRUCTURAL ADAPTATIONS; CRYSTAL-STRUCTURES; SERINE PROTEINASE; RESOLUTION; INHIBITOR; BACTERIUM; CARLSBERG; ENZYME</t>
  </si>
  <si>
    <t>The psychrophilic alkaline serine protease Apa1 secreted by the Antarctic psychrotroph Pseudoalteromonas sp. strain AS-11 consists of a subtilisin-like region (293 residues) and an additional insert region (148 residues) that does not show a sequence homology to any proteins in the RCSB Protein Data Bank. Apa1 inhibited with phenylmethanesulfonyl fluoride has been crystallized and X-ray diffraction data have been collected to 1.78 angstrom resolution. The crystals belong to space group C2, with unit-cell parameters a = 122.94, b = 138.48, c = 64.77 angstrom, alpha = gamma = 90, beta = 97.5 degrees. A molecular-replacement solution has been found using the structure of the mesophilic counterpart subtilisin DY with 38% sequence identity to the catalytic domain of Apa1 as a search model. This is the first crystallographic study od a cold-adapted subtilisin-like protease.</t>
  </si>
  <si>
    <t>Saga Univ, Dept Appl Biol Sci, Saga 8408502, Japan</t>
  </si>
  <si>
    <t>Saga University</t>
  </si>
  <si>
    <t>Saga Univ, Dept Appl Biol Sci, Saga 8408502, Japan.</t>
  </si>
  <si>
    <t>watakei@cc.saga-u.ac.jp</t>
  </si>
  <si>
    <t>INT UNION CRYSTALLOGRAPHY</t>
  </si>
  <si>
    <t>CHESTER</t>
  </si>
  <si>
    <t>2 ABBEY SQ, CHESTER, CH1 2HU, ENGLAND</t>
  </si>
  <si>
    <t>2053-230X</t>
  </si>
  <si>
    <t>ACTA CRYSTALLOGR F</t>
  </si>
  <si>
    <t>Acta Crystallogr. F-Struct. Biol. Commun.</t>
  </si>
  <si>
    <t>MAR</t>
  </si>
  <si>
    <t>10.1107/S1744309105004082</t>
  </si>
  <si>
    <t>Biochemical Research Methods; Biochemistry &amp; Molecular Biology; Biophysics; Crystallography</t>
  </si>
  <si>
    <t>Biochemistry &amp; Molecular Biology; Biophysics; Crystallography</t>
  </si>
  <si>
    <t>970GK</t>
  </si>
  <si>
    <t>WOS:000232293100017</t>
  </si>
  <si>
    <t>Questioning orthodoxy</t>
  </si>
  <si>
    <t>10.1017/S0954102005002531</t>
  </si>
  <si>
    <t>911QF</t>
  </si>
  <si>
    <t>WOS:000228018700001</t>
  </si>
  <si>
    <t>Kremser, U; Klemm, P; Kötz, WD</t>
  </si>
  <si>
    <t>Estimating the risk of temporary acoustic threshold shift, caused by hydroacoustic devices, in whales in the Southern Ocean</t>
  </si>
  <si>
    <t>Antarctic Treaty; environmental protection; Hydrosweep; mitigation measures; Parasound</t>
  </si>
  <si>
    <t>MASKED HEARING THRESHOLDS; BOTTLE-NOSED DOLPHINS; DELPHINAPTERUS-LEUCAS; TURSIOPS-TRUNCATUS; EXPOSURE; SOUNDS</t>
  </si>
  <si>
    <t>There is a potential threat to marine mammals from acoustic signals emitted by hydroacoustic devices. The impact on the hearing of marine mammals depends on the technical parameters of the instruments and on the exposure of the animal to noise pulses, as well as on the properties of the biological system, that is to say, on the anatomy and the audiogram of the animal. Here, the blue whale, the sperm whale and the beaked whale are taken as examples in an investigation of the potential exposure to noise pulses from the hydroacoustic instruments Hydrosweep and Parasound. Diving depths of the whales and relative speeds of the animals with respect to the survey vessels are taken into account, as well as the area impacted by the equipment, in estimating the level of sound needed to produce temporary threshold shift in an animal. The results suggest that auditory damage is only likely if animals pass the transducer at close range and that the impact on marine mammals can be mitigated by implementing prior detection and shut down procedures.</t>
  </si>
  <si>
    <t>Kremser, U (corresponding author), Heinrich Heinr Str 7, D-10179 Berlin, Germany.</t>
  </si>
  <si>
    <t>10.1017/S0954102005002361</t>
  </si>
  <si>
    <t>WOS:000228018700002</t>
  </si>
  <si>
    <t>Zhu, RB; Sun, LG; Yin, XB; Xie, ZQ; Liu, XD</t>
  </si>
  <si>
    <t>Geochemical evidence for rapid enlargement of a gentoo penguin colony on Barton Peninsula in the maritime Antarctic</t>
  </si>
  <si>
    <t>King George Island; penguin guano; Pygoscelis papua; geochemistry</t>
  </si>
  <si>
    <t>ENVIRONMENTAL-CHANGE; CHINSTRAP PENGUINS; SEAL POPULATIONS; CLIMATE-CHANGE; ADELIE; TRENDS; ISLAND; COMPETITION; INDICATORS; RECORD</t>
  </si>
  <si>
    <t>Gentoo penguin Pygoscelis papua is an important component of the Antarctic marine ecosystem. In this paper, we use an indirect approach, a geochemical method combining with Cs-137 and Pb-210 CRS mode dating, to study the dynamics of the gentoo population and colony on Barton Peninsula, King George Island, in the maritime Antarctic. Five sediment profiles were sampled in the zone between the gentoo penguin colony and tundra vegetation on this peninsula and the sediment sequence and typical elements from penguin guano were analysed. Results showed that the levels for typical elements display a dramatic change at around 5 cm depth, indicating the strong impact of penguin guano. The sediments below 5 cm showed lower concentrations in these elements, suggesting that these sediments had received little impact from penguin guano. By Q-mode factor analysis, a method for decomposing multiple factors, we found that over the past sixty years the gentoo colony showed a rapid enlargement and the tundra vegetation had been destroyed. Possible factors responsible for the enlargement of the penguin colony are tentatively discussed.</t>
  </si>
  <si>
    <t>Univ Sci &amp; Technol China, Inst Polar Environm, Anhua 230026, Peoples R China</t>
  </si>
  <si>
    <t>Univ Sci &amp; Technol China, Inst Polar Environm, Anhua 230026, Peoples R China.</t>
  </si>
  <si>
    <t>xie, zhouqing/P-9661-2019</t>
  </si>
  <si>
    <t>10.1017/S0954102005002373</t>
  </si>
  <si>
    <t>WOS:000228018700003</t>
  </si>
  <si>
    <t>Smith, RIL</t>
  </si>
  <si>
    <t>The thermophilic bryoflora of Deception Island: unique plant communities as a criterion for designating an Antarctic Specially Protected Area</t>
  </si>
  <si>
    <t>Antarctica; conservation; fumaroles; geothermal; liverworts; mosses</t>
  </si>
  <si>
    <t>VICTORIA LAND; ECOLOGICAL INVESTIGATIONS; MOUNT RITTMANN; DISPERSAL; FUMAROLES; MELBOURNE; EREBUS</t>
  </si>
  <si>
    <t>Deception Island in the South Shetland Islands is one of the most volcanically active sites south of 60 degrees S. Between 1967 and 1970 three major eruptions devastated large expanses of the landscape and its vegetation. Since 1970 extensive recolonization has occurred on the more stable surfaces. Unheated ground supports several bryophyte and lichen communities typical of much of the Maritime Antarctic, but geothermal habitats possess remarkable associations of bryophytes, many of which are unknown or very rare elsewhere in the Antarctic. Nine geothermal sites and their vegetation are described. Communities associated with more transient sites have disappeared when the geothermal activity ceased. Mosses and liverworts occur to within a few centimetres of the vents where temperatures reach 90-95 degrees C, while temperatures within adjacent moss turf can reach 35-50 degrees C or more and remain consistently between 25 and 45 degrees C. Most of the bryoflora has a Patagonian-Fuegian provenance. It is presumed that, unlike most species, the thermophiles are not pre-adapted to the Antarctic environment, being able to colonize only where the warm and humid conditions prevail. The floristic and ecological importance of these thermophilic communities, and their sensitivity to perturbation by the rapidly increasing annual summer influx of tourists, as well as scientists, has resulted in these unique sites being proposed as components of a new Antarctic Specially Protected Area under the Antarctic Treaty.</t>
  </si>
  <si>
    <t>Smith, RIL (corresponding author), British Antarctic Survey, NERC, High Cross, Cambridge CB3 0ET, England.</t>
  </si>
  <si>
    <t>r.lewis-smith@bas.ac.uk</t>
  </si>
  <si>
    <t>10.1017/S0954102005002385</t>
  </si>
  <si>
    <t>WOS:000228018700004</t>
  </si>
  <si>
    <t>Van der Putten, N; Verbruggen, C</t>
  </si>
  <si>
    <t>The onset of deglaciation of Cumberland Bay and Stromness Bay, South Georgia</t>
  </si>
  <si>
    <t>Early Holocene deglaciation; geomorphology; glacial refugia; palaeoecology; radiocarbon dates; sub-Antarctic</t>
  </si>
  <si>
    <t>OCEAN</t>
  </si>
  <si>
    <t>Carbon dating of basal peat deposits in Cumberland Bay and Stromness Bay and sediments from a lake in Stromness Bay, South Georgia indicates deglaciation at the very beginning of the Holocene before c. 9500 C-14 yr BP. This post-dates the deglaciation of one local lake which has been ice-free since at least 15 700 C-14 yr BP on account of its atypical geomorphological location. The latter indicates the likely presence of floristic refugia on South Georgia during the Last Glacial Maximum from which newly exposed terrestrial and aquatic habitats were rapidly colonized.</t>
  </si>
  <si>
    <t>Univ Ghent, Lab Palaeoecol &amp; Landscape Genesis, Dept Geog, B-9000 Ghent, Belgium</t>
  </si>
  <si>
    <t>Ghent University</t>
  </si>
  <si>
    <t>Univ Ghent, Lab Palaeoecol &amp; Landscape Genesis, Dept Geog, S8-B2,Krijgslaan 281, B-9000 Ghent, Belgium.</t>
  </si>
  <si>
    <t>nathalie.vanderputten@ugent.be</t>
  </si>
  <si>
    <t>Van der Putten, Nathalie/0000-0002-0271-9321</t>
  </si>
  <si>
    <t>10.1017/S0954102005002397</t>
  </si>
  <si>
    <t>WOS:000228018700005</t>
  </si>
  <si>
    <t>Moorhead, D; Schmeling, J; Hawes, I</t>
  </si>
  <si>
    <t>Modelling the contribution of benthic microbial mats to net primary production in Lake Hoare, McMurdo Dry Valleys</t>
  </si>
  <si>
    <t>Antarctica; carbon dynamics; model; photosynthesis; Victoria Land</t>
  </si>
  <si>
    <t>COVERED ANTARCTIC LAKES; SOUTHERN VICTORIA LAND; ICE SHELF; PHOTOSYNTHESIS; LIGHT; BIOMASS; PONDS; PHYTOPLANKTON; CYANOBACTERIA; RESPIRATION</t>
  </si>
  <si>
    <t>A model was used to simulate primary production of benthic microbial mats in Lake Hoare, southern Victoria Land, Antarctica, and to compare potential benthic to planktonic production. Photosynthetic and respiratory characteristics of mats from five depths in. the lake were extrapolated across depth, surface area and time, to estimate whole-lake, annual net primary production. Variation in under-ice light regimes resulting from changes in ice thickness and transparency, and light extinction in the water column was examined, and an uncertainty analysis of key model parameters performed. Daily mat production estimates were 0.98-37.83 ing C m(-2) d(-1), depending on depth and PAR, whereas in situ production of phytoplankton averaged 15% of this. Annual patterns of mat production achieved maximum rates of 15-16 g C m(-2) y(-1) at 10 in depth when &gt;= 5% of ambient PAR was transmitted through the ice covering the lake; observed transmittance values were usually: 5%. Increasing underwater PAR had little effect above 5-7% transmittance, as photosynthesis became saturated at this level. Uncertainties in estimates of maximum photosynthetic rate (P-max), initial slope of photosynthetic-light. response (alpha) and maximum respiration rate (R-max) explained 72-99% of uncertainty in model behaviour; P-max was increasingly important at high light levels whereas a was more important at low light levels, however R-max exerted the greatest influence under most conditions.</t>
  </si>
  <si>
    <t>Univ Toledo, Dept Earth Ecol &amp; Environm Sci, Toledo, OH 43606 USA; Natl Inst Water &amp; Atmospher Res Ltd, Hamilton, New Zealand</t>
  </si>
  <si>
    <t>University System of Ohio; University of Toledo; National Institute of Water &amp; Atmospheric Research (NIWA) - New Zealand</t>
  </si>
  <si>
    <t>Univ Toledo, Dept Earth Ecol &amp; Environm Sci, Toledo, OH 43606 USA.</t>
  </si>
  <si>
    <t>Daryl.Moorhead@utoledo.edu</t>
  </si>
  <si>
    <t>Hawes, Ian/0000-0003-2471-6903</t>
  </si>
  <si>
    <t>10.1017/S0954102005002403</t>
  </si>
  <si>
    <t>WOS:000228018700006</t>
  </si>
  <si>
    <t>Ruberto, LAM; Vazquez, S; Lobalbo, A; Mac Cormack, WP</t>
  </si>
  <si>
    <t>Psychrotolerant hydrocarbon-degrading Rhodococcus strains isolated from polluted Antarctic soils</t>
  </si>
  <si>
    <t>Antarctica; bioaugmentation; bioremediation; hydrocarbon contamination; polluted soils; psychrophiles</t>
  </si>
  <si>
    <t>OIL-CONTAMINATED SOIL; DIESEL-OIL; PETROLEUM-HYDROCARBONS; NATURAL ATTENUATION; LOW-TEMPERATURE; CRUDE-OIL; BIODEGRADATION; BIOREMEDIATION; BIOSTIMULATION; ASSIMILATION</t>
  </si>
  <si>
    <t>Three hydrocarbon-degrading Rhodococcus strains isolated from polluted Antarctic soils proved to be closely related despite their different origins. Strains had a similar hydrocarbon degradation pattern and optimum growth temperature ranged between 25 degrees C and 30 degrees C, showing that strains are psychrotolerant but not psychrophiles. Specific growth rate on rich media ranged between 0.12 and 0.21 h(-1), higher than those observed on hydrocarbons as carbon source. Results suggest that in Antarctic contaminated soils, closely related Rhodococcus strains are present and could play an important role in decontamination. Microcosm systems showed that, although the natural microflora, respond significantly to the pollutants, bioaugmentation with Rhodococcus strain (ADH), improved biodegradation either alone or mixed with a hydrocarbon-degrading Acinetobacter strain. In comparison with microcosm where only ADH was inoculated, a non-significant decrease in hydrocarbon concentration was observed when ADH was inoculated as mixed culture with a previously tested strain. Pollutants dramatically reduced bacterial groups in soils resulting in a dominance of Pseudomonas. Microcosms showed that when natural microflora has no previous history of exposure to the pollutants, bioaugmentation with autochthonous strains improves degradation of the contaminants. The positive response of the native bacteria to the pollutants leaves the question open as to whether bioaugmentation is necessary when soils have a long previous exposure to hydrocarbons.</t>
  </si>
  <si>
    <t>Inst Antartico Argentino, Dept Biol, RA-1248 Buenos Aires, DF, Argentina; Univ Buenos Aires, Fac Farm &amp; Bioquim, Buenos Aires, DF, Argentina; Consejo Nacl Invest Cient &amp; Tecn, RA-1917 Buenos Aires, DF, Argentina</t>
  </si>
  <si>
    <t>Instituto Antartico Argentino; University of Buenos Aires; Consejo Nacional de Investigaciones Cientificas y Tecnicas (CONICET)</t>
  </si>
  <si>
    <t>Inst Antartico Argentino, Dept Biol, Cerrito C1010AAZ, RA-1248 Buenos Aires, DF, Argentina.</t>
  </si>
  <si>
    <t>wmac@huemul.ffyb.uba.ar</t>
  </si>
  <si>
    <t>Vazquez, Susana/AEP-5214-2022</t>
  </si>
  <si>
    <t>Vazquez, Susana/0000-0002-0760-6254; Ruberto, Lucas Adolfo Mauro/0000-0001-5604-772X; Mac Cormack, Walter/0000-0002-5280-5463</t>
  </si>
  <si>
    <t>10.1017/S0954102005002415</t>
  </si>
  <si>
    <t>WOS:000228018700007</t>
  </si>
  <si>
    <t>Emslie, SD; Woehler, EJ</t>
  </si>
  <si>
    <t>A 9000-year record of Adelie penguin occupation and diet in the Windmill Islands, East Antarctica</t>
  </si>
  <si>
    <t>abandoned colonies; deglaciation; palaeodiet; Pleuragramma antarcticum; Psychroteuthis glacialis; Pygoscelis adeliae</t>
  </si>
  <si>
    <t>SOUTHERN ROSS SEA; LATE-HOLOCENE; AGE CALIBRATION; PENINSULA; CLIMATE; LAKE</t>
  </si>
  <si>
    <t>We investigated 17 abandoned Adelie penguin (Pygoscelis adeliae) colonies in the Windmill Islands, East Antarctica, in summer 2002/03. Forty radiocarbon dates on penguin bones and eggshells from 13 of these sites indicate a near continuous occupation by breeding penguins in this region for over 9000 years. These dates refine the recent geological record in this region and indicate that deglaciation of the northern islands occurred much earlier than previously suggested. Dietary remains from these sites include at least 23 taxa of cephalopods and teleost fish. Quantification of these remains indicates significant fluctuations in the relative abundance of two of the more common major prey taxa. The Antarctic silverfish (Pleuragramma antarcticum Boulenger) was the most common teleost prey during all time periods represented by the ages of the sites, but preservational factors may explain a gradual decrease in the remains of this species in increasingly older sites. The most common cephalopod in the sediments was the squid, Psychroteuthis glacialis Thiele, which occurred in low numbers in most sites except one (Site 75). An unusually high number of squid beaks preserved in Site 75, dating to approximately 5700-6100 cal. yr BP, does not correlate with a decrease in fish prey at that time. The high number of abandoned penguin colonies (&gt; 200) in the Windmill Islands may be due to population cycles in the past in association with low nest-site fidelity and movement by breeding penguins to new sites within this region.</t>
  </si>
  <si>
    <t>Univ N Carolina, Dept Biol Sci, Wilmington, NC 28403 USA; Australian Antarctic Div, Kingston, Tas 7050, Australia</t>
  </si>
  <si>
    <t>University of North Carolina; University of North Carolina Wilmington; Australian Antarctic Division</t>
  </si>
  <si>
    <t>Emslie, SD (corresponding author), Univ N Carolina, Dept Biol Sci, 601 S Coll Rd, Wilmington, NC 28403 USA.</t>
  </si>
  <si>
    <t>emslies@uncw.edu</t>
  </si>
  <si>
    <t>Woehler, Eric/0000-0002-1125-0748</t>
  </si>
  <si>
    <t>10.1017/S0954102005002427</t>
  </si>
  <si>
    <t>WOS:000228018700008</t>
  </si>
  <si>
    <t>Black, A</t>
  </si>
  <si>
    <t>Light induced seabird mortality on vessels operating in the Southern Ocean: incidents and mitigation measures</t>
  </si>
  <si>
    <t>Falklands Conservat, Stanley, Falkland Isl, New Zealand</t>
  </si>
  <si>
    <t>Black, A (corresponding author), Falklands Conservat, POB 26, Stanley, Falkland Isl, New Zealand.</t>
  </si>
  <si>
    <t>andy.black@conservation.org.fk</t>
  </si>
  <si>
    <t>10.1017/S0954102005002439</t>
  </si>
  <si>
    <t>WOS:000228018700009</t>
  </si>
  <si>
    <t>Cuba, M; Gutiérrez-Moraga, A; Butendieck, B; Gidekel, M</t>
  </si>
  <si>
    <t>Micropropagation of Deschampsia antarctica -: a frost-resistant Antarctic plant</t>
  </si>
  <si>
    <t>Univ La Frontera, Fac Ciencias Agropecuarias &amp; Forestales, Lab Fisiol &amp; Biol Mol Vegetal, Inst Agronind, Temuco, Chile</t>
  </si>
  <si>
    <t>Universidad de La Frontera</t>
  </si>
  <si>
    <t>Gidekel, M (corresponding author), Univ La Frontera, Fac Ciencias Agropecuarias &amp; Forestales, Lab Fisiol &amp; Biol Mol Vegetal, Inst Agronind, Casilla 54-D, Temuco, Chile.</t>
  </si>
  <si>
    <t>mgidekel@ufro.cl</t>
  </si>
  <si>
    <t>Cuba-Diaz, Marely/0000-0002-2981-0328; Gidekel, Manuel/0000-0002-6770-4630</t>
  </si>
  <si>
    <t>10.1017/S0954102005002440</t>
  </si>
  <si>
    <t>WOS:000228018700010</t>
  </si>
  <si>
    <t>Kim, SL; Conlan, K; Malone, DP; Lewis, CV</t>
  </si>
  <si>
    <t>Possible food caching and defence in the Weddell seal: observations from McMurdo Sound, Antarctica</t>
  </si>
  <si>
    <t>PATTERNS</t>
  </si>
  <si>
    <t>Moss Landing Marine Labs, Moss Landing, CA 95062 USA; Canadian Museum Nat, Ottawa, ON K1P 6P4, Canada; Univ Calif Berkeley, Dept Integrat Biol, Berkeley, CA 94720 USA</t>
  </si>
  <si>
    <t>Moss Landing Marine Laboratories; University of California System; University of California Berkeley</t>
  </si>
  <si>
    <t>Kim, SL (corresponding author), Moss Landing Marine Labs, 8272 Moss Landing Rd, Moss Landing, CA 95062 USA.</t>
  </si>
  <si>
    <t>skim@mlml.calstate.edu</t>
  </si>
  <si>
    <t>Lewis, Craig/0000-0003-2015-3920</t>
  </si>
  <si>
    <t>10.1017/S0954102005002452</t>
  </si>
  <si>
    <t>WOS:000228018700011</t>
  </si>
  <si>
    <t>McLoughlin, S; Larsson, K; Lindström, S</t>
  </si>
  <si>
    <t>Permian plant macrofossils from Fossilryggen, Vestfjella, Dronning Maud Land</t>
  </si>
  <si>
    <t>East Antarctica; Glossopteris; Middle Permian; palynostratigraphy; Phyllotheca; Vertebraria</t>
  </si>
  <si>
    <t>GLOSSOPTERIS FLORA; EAST ANTARCTICA; PALYNOSTRATIGRAPHY; MOUNTAINS; RANGE; BASIN; PEAT</t>
  </si>
  <si>
    <t>A low diversity plant macrofossil assemblage described from the northern section of Fossiryggen, Vestfiella, Dronning Maud Land, Antarctica, is dominated by matted leaf impressions of Glossopteris sp. cf. G communis Feistmantel and Glossopteris sp. cf. G spatulata Pant &amp; Singh, and in situ finely branched Vertebraria indica Royle rootlets. Equisetalean stems, rhizomes and leaf whorls (Pkyllotheca australis Brongniart emend. Townrow), isolated seeds, scale-leaves, and fragmentary gymnosperm axes represent minor components of the assemblage. The fossils are preserved in fine-grained, floodbasin sediments and dark palaeosols. Although lacking definitive biostratigraphical indices, the flora is considered to represent a Middle Permian assemblage based principally on lithological and palynological correlation with the southern section at Fossilryggen and broad similarities to mid-Permian plant assemblages elsewhere in Gondwana.</t>
  </si>
  <si>
    <t>Queensland Univ Technol, Sch Nat Resource Sci, Brisbane, Qld 4001, Australia; Lund Univ, GeoBiosphere Sci Ctr, SE-22362 Lund, Sweden</t>
  </si>
  <si>
    <t>Queensland University of Technology (QUT); Lund University</t>
  </si>
  <si>
    <t>McLoughlin, S (corresponding author), Queensland Univ Technol, Sch Nat Resource Sci, POB 2434, Brisbane, Qld 4001, Australia.</t>
  </si>
  <si>
    <t>s.mcloughlin@qut.edu.au</t>
  </si>
  <si>
    <t>Lindström, Sofie/G-5481-2018</t>
  </si>
  <si>
    <t>Lindström, Sofie/0000-0001-8278-1055</t>
  </si>
  <si>
    <t>10.1017/S0954102005002464</t>
  </si>
  <si>
    <t>WOS:000228018700012</t>
  </si>
  <si>
    <t>Lindström, S</t>
  </si>
  <si>
    <t>Palynology of Permian shale, clay and sandstone clasts from the Basen till in northern VestfJella, Dronning Maud Land</t>
  </si>
  <si>
    <t>Middle Permian; pollen; provenance; reworked; spores</t>
  </si>
  <si>
    <t>WESTERN-AUSTRALIA; EAST ANTARCTICA; PALYNOSTRATIGRAPHY; SHELF; PALYNOMORPHS; LANDSCAPE; AFRICA; BASIN</t>
  </si>
  <si>
    <t>The palynological content of randomly collected sedimentary rock clasts from the till on the south-east slope of the Basen nunatak in northern Vestfiella in western Dronning Maud Land indicate that these sedimentary rocks were derived from strata of Middle Permian age. The palynological content and preservation is similar to palynofloras described from the sedimentary rocks that crop out at the Fossilryggen nunatak to the south-east, therefore, it seems likely that the Fossilryggen area represents the source of the sedimentary rock samples in the Basen till. This is further supported by known ice flow directions obtained from striations and clast fabric measurements in the area.</t>
  </si>
  <si>
    <t>Lund Univ, GeoBiosphere Sci Ctr, Dept Geol, SE-22362 Lund, Sweden</t>
  </si>
  <si>
    <t>Lund University</t>
  </si>
  <si>
    <t>Lindström, S (corresponding author), Lund Univ, GeoBiosphere Sci Ctr, Dept Geol, Solvegatan 12, SE-22362 Lund, Sweden.</t>
  </si>
  <si>
    <t>sofie.lindstrom@geol.lu.se</t>
  </si>
  <si>
    <t>10.1017/S0954102005002476</t>
  </si>
  <si>
    <t>WOS:000228018700013</t>
  </si>
  <si>
    <t>Vuan, A; Lodolo, E; Panza, GF; Sauli, C</t>
  </si>
  <si>
    <t>Crustal structure beneath Discovery Bank in the Scotia Sea from group velocity tomography and seismic reflection data</t>
  </si>
  <si>
    <t>continental crust; multichannel seismic profiles; South Scotia Ridge; surface wave tomography</t>
  </si>
  <si>
    <t>ANTARCTIC CIRCUMPOLAR CURRENT; UPPER-MANTLE; DISPERSION; INVERSION; REGION; MODEL; ARC</t>
  </si>
  <si>
    <t>The Bruce, Discovery, Herdman and Jane banks, all located along the central-eastern part of the South Scotia Ridge, represent isolated topographic highs, surrounded by young oceanic crust (similar to 5-23 Ma), whose petrological and structural nature is still the subject of speculation due to the lack of relevant data. Surface wave tomography in and around the Scotia Sea region, performed using eight broadband seismic stations and 300 events, shows that the central-eastern part of the South Scotia Ridge is characterized by negative surface wave group velocity anomalies as large as 6% in the period range from 15 s to 50 s. The spatial resolution of our data set (similar to 300 km) makes it possible to study a specific area (centred at 61 degrees S and 36 degrees W) that includes Discovery Bank and appears to show dispersion characteristics similar to those found beneath the northern tip of the Antarctic Peninsula and southern South America. Surface wave dispersion curves are inverted to obtain 1-D isotropic shear wave velocity profiles that suggest a continental nature of Discovery Bank. Crustal thickness is in the range 23-28 km with a sub-Moho velocity of 4.1-4.2 kin s(-1). The boundaries of the negative group velocity anomalies are marked by a high level of seismic activity. The depth of the events and their large seismic moment suggest the presence of continental lithosphere. The continental-type crust of this topographic relief is supported by our interpretation of multichannel seismic reflection profiles acquired across this rise, where the observed seismic structures are interpreted as thinned and faulted continental plateau.</t>
  </si>
  <si>
    <t>Ist Nazl Oceanog &amp; Geofis Sperimentale, I-34010 Trieste, Italy; Univ Trieste, Dipartimento Sci Terr, I-34127 Trieste, Italy; Abdus Salam Int Ctr Theoret Phys, Trieste, Italy</t>
  </si>
  <si>
    <t>Istituto Nazionale di Oceanografia e di Geofisica Sperimentale; University of Trieste; Abdus Salam International Centre for Theoretical Physics (ICTP)</t>
  </si>
  <si>
    <t>Vuan, A (corresponding author), Ist Nazl Oceanog &amp; Geofis Sperimentale, Borgo Grotta Gigante 42-C, I-34010 Trieste, Italy.</t>
  </si>
  <si>
    <t>Vuan, Alessandro/AAC-9665-2021; Vuan, Alessandro/GLR-3168-2022; Vuan, Alessandro/B-7115-2014</t>
  </si>
  <si>
    <t>Giuliano, Panza/0000-0003-3504-3038; Vuan, Alessandro/0000-0001-5536-1717; LODOLO, Emanuele/0000-0002-4706-2095</t>
  </si>
  <si>
    <t>10.1017/S0954102005002488</t>
  </si>
  <si>
    <t>WOS:000228018700014</t>
  </si>
  <si>
    <t>Robertson, R</t>
  </si>
  <si>
    <t>Baroclinic and barotropic tides in the Ross Sea</t>
  </si>
  <si>
    <t>continental shelf waves; internal tides; vertical shear</t>
  </si>
  <si>
    <t>COASTAL-TRAPPED WAVES; INTERNAL TIDES; ICE; CURRENTS</t>
  </si>
  <si>
    <t>The barotropic and baroclinic tides in the Ross Sea were simulated using a primitive equation, sigma-coordinate model, the Regional Ocean Model System (ROMS), for four tidal constituents, M-2, S-2, K-1, and O-1. Small elevation amplitudes were predicted over most of the basin, with a combined standard deviation of 30-50 cm. Larger amplitudes, with standard deviations ranging from 50-70 cm, occurred deep within the ice shelf cavity, over the continental slope, and over Iselin Bank. Most of the elevation response was associated with the diurnal constituents (K-1 and O-1), as was most of the depth-independent (barotropic) velocity response. Baroclinic tides were generated at locations of steep topography for the semidiurnal constituents, but not the diurnal. Diurnal continental shelf waves were generated by the diurnal tides and found to amplify the semidiurnal elevations and baroclinic tidal velocities over the continental slope. Comparisons with observations in both elevation and velocities showed very good agreement for the semidiurnal constituents (M-2 and S-2) and moderate agreement for the diurnal constituents (K-1 and O-1). The disagreement for the diurnal constituents was associated with diurnal frequency continental shelf waves, which were overexcited along the shelf break. The baroclinic tides induced both small-scale horizontal and vertical shear in the velocity fields in the Ross Sea.</t>
  </si>
  <si>
    <t>Columbia Univ, Lamont Doherty Geol Observ, Palisades, NY 10964 USA</t>
  </si>
  <si>
    <t>Columbia University</t>
  </si>
  <si>
    <t>Columbia Univ, Lamont Doherty Geol Observ, Palisades, NY 10964 USA.</t>
  </si>
  <si>
    <t>rroberts@ldeo.columbia.edu</t>
  </si>
  <si>
    <t>Robertson, Robin/T-5491-2019</t>
  </si>
  <si>
    <t>10.1017/S0954102005002506</t>
  </si>
  <si>
    <t>WOS:000228018700015</t>
  </si>
  <si>
    <t>Van As, D; Van Den Broeke, M; De Wal, R</t>
  </si>
  <si>
    <t>Daily cycle of the surface layer and energy balance on the high Antarctic Plateau</t>
  </si>
  <si>
    <t>atmospheric boundary layer; diurnal variability; ENABLE; snow; stability; turbulent heat flux</t>
  </si>
  <si>
    <t>RESCALING HUMIDITY SENSORS; BLUE ICE; TEMPERATURES WELL; ADELIE-LAND; EASTERN ANTARCTICA; DIURNAL-VARIATION; SCALAR ROUGHNESS; BOUNDARY-LAYER; WIND REGIME; MAUD-LAND</t>
  </si>
  <si>
    <t>This paper focuses on the daily cycle of the surface energy balance and the atmospheric surface layer during a detailed meteorological experiment performed near Kohnen base in Dronning Maud Land, East Antarctica, in January and February 2002. Temperature, specific humidity, wind speed and the turbulent scales of these quantities, exhibit a strong daily cycle. The sensible heat flux cycle has a mean amplitude of similar to 8 W m(-2), while the latent heat flux has an amplitude of less than 2 W m(-2), which is small compared to the amplitude of net radiation (similar to 35 W m(-2)) and sub-surface heat (similar to 25 W m(-2)). Between similar to 9 and 16 h GMT convection occurs due to a slightly unstable atmospheric surface layer. At the end of the afternoon, the wind speed decreases abruptly and the mixed layer is no longer supported by the sensible heat input; the stratification becomes stable. At night a large near-surface wind shear is measured due to the presence of a nocturnal jet, which is likely to be katabatically driven, but can also be the result of an inertial oscillation. No strong daily cycle in wind direction is recorded, since both the katabatic forcing at night and the daytime forcing by the large-scale pressure gradient were directed approximately downslope during the period of measurement.</t>
  </si>
  <si>
    <t>Univ Utrecht, Inst Marine &amp; Atmospher Res Utrecht, NL-3508 GA Utrecht, Netherlands</t>
  </si>
  <si>
    <t>Univ Utrecht, Inst Marine &amp; Atmospher Res Utrecht, POB 80000, NL-3508 GA Utrecht, Netherlands.</t>
  </si>
  <si>
    <t>Van den Broeke, Michiel R./F-7867-2011; van de wal, roderik/D-1705-2011</t>
  </si>
  <si>
    <t>Van den Broeke, Michiel R./0000-0003-4662-7565; van de wal, roderik/0000-0003-2543-3892; van As, Dirk/0000-0002-6553-8982</t>
  </si>
  <si>
    <t>10.1017/S095410200500252X</t>
  </si>
  <si>
    <t>WOS:000228018700016</t>
  </si>
  <si>
    <t>Kim, HC; Hofmann, EE</t>
  </si>
  <si>
    <t>Evaluation and derivation of cloud-cover algorithms for calculation of surface irradiance in sub-Antarctic and Antarctic environments</t>
  </si>
  <si>
    <t>albedo; McMurdo Station; multiple reflection; Palmer Station; radiative transfer model</t>
  </si>
  <si>
    <t>OCEANIC PRIMARY PRODUCTION; SOLAR SPECTRAL IRRADIANCE; RADIATIVE-TRANSFER MODEL; OZONE; ULTRAVIOLET; INVESTIGATE; ATMOSPHERE; COLOR</t>
  </si>
  <si>
    <t>To investigate approaches for parameterizing cloud cover effects in models of surface irradiance, the daily-averaged and hourly irradiances measured at Palmer Station (64 degrees 46'S, 64 degrees 3'W), McMurdo Station (77 degrees 51'S, 166 degrees 40'E) and Ushuaia (54 degrees 49'S, 68 degrees 19'W) between 1993 and 1997 were compared to irradiance values computed with a clear sky radiative transfer model in which nine empirical cloud-cover correction relationships were included. The cloud cover correction algorithms improved the simulated irradiance by factors of 3 and 3.7 for Palmer Station and Ushuaia, respectively, over the non-corrected irradiances. No single cloud cover correction algorithm worked consistently at the three sites. Therefore, a power function cloud cover correction algorithm was derived from comparisons between the observed spectrally-integrated irradiances and the simulated irradiances at the three locations. New coefficient values for the power function cloud cover correction algorithm for the spectrally-resolved irradiances were also derived at the three sites, and were found to be spectrally-neutral and to differ in magnitude. The general trends in the values obtained for the three sites provide an approach for generalizing cloud cover correction algorithm coefficients to other parts of the Antarctic.</t>
  </si>
  <si>
    <t>Old Dominion Univ, Ctr Coastal Phys Oceanog, Norfolk, VA 23508 USA</t>
  </si>
  <si>
    <t>Old Dominion University</t>
  </si>
  <si>
    <t>Smithsonian Environm Res Ctr, POB 28,647 Contees Wharf Rd, Edgewater, MD 21037 USA.</t>
  </si>
  <si>
    <t>kimh@si.edu</t>
  </si>
  <si>
    <t>10.1017/S0954102005002518</t>
  </si>
  <si>
    <t>WOS:000228018700017</t>
  </si>
  <si>
    <t>Gambino, S</t>
  </si>
  <si>
    <t>Air and permafrost temperatures at Mount Melbourne (1989-98)</t>
  </si>
  <si>
    <t>Inst Nazl Geofis &amp; Vulcanol, Sez Catania, I-95123 Catania, Italy</t>
  </si>
  <si>
    <t>Istituto Nazionale Geofisica e Vulcanologia (INGV)</t>
  </si>
  <si>
    <t>Gambino, S (corresponding author), Inst Nazl Geofis &amp; Vulcanol, Sez Catania, Piazza Roma 2, I-95123 Catania, Italy.</t>
  </si>
  <si>
    <t>gambino@ct.ingv.it</t>
  </si>
  <si>
    <t>Gambino, Salvo/C-6690-2014</t>
  </si>
  <si>
    <t>Gambino, Salvatore/0000-0001-8055-3059</t>
  </si>
  <si>
    <t>10.1017/S095410200500249X</t>
  </si>
  <si>
    <t>WOS:000228018700018</t>
  </si>
  <si>
    <t>Schwede-Thomas, SB; Chin, YP; Dria, KJ; Hatcher, P; Kaiser, E; Sulzberger, B</t>
  </si>
  <si>
    <t>Characterizing the properties of dissolved organic matter isolated by XAD and C-18 solid phase extraction and ultrafiltration</t>
  </si>
  <si>
    <t>AQUATIC SCIENCES</t>
  </si>
  <si>
    <t>DOM characterization; DOM isolates; DOM properties; C-13 NMR; HPSEC; EEM</t>
  </si>
  <si>
    <t>SYNCHRONOUS FLUORESCENCE-SPECTRA; TANGENTIAL-FLOW ULTRAFILTRATION; NUCLEAR-MAGNETIC-RESONANCE; AQUATIC HUMIC SUBSTANCES; MOLECULAR-WEIGHT; FULVIC-ACID; ANTARCTIC LAKE; NATURAL-WATERS; SPECTROSCOPY; CARBON</t>
  </si>
  <si>
    <t>The properties of aquatic dissolved organic matter (DOM) isolated by solid phase extraction (SPE) C-18 cartridges, ultrafiltration, and XAD chromatography are compared. Samples taken from the Suwannee River, Georgia, USA and McDonalds Branch in the Pine Barrens, New Jersey, USA were chosen to represent waters where DOM originates from predominantly terrestrially-derived (allochthonous) precursors. Pony Lake, Antarctica represented an exclusively algal/microbially-derived ( autochthonous) DOM. Fluorescence, UV absorption, C-13 NMR spectroscopy, and high-pressure size exclusion chromatography (HPSEC) were employed to discern differences and similarities between the DOM isolated by these three methods. Only subtle differences between isolation methods were observed for the terrestrially derived DOM samples when assayed by light and fluorescence spectroscopy. Conversely, the Pony Lake DOM isolates exhibit greater variability when analyzed by these methods. C-13-NMR analyses showed structural differences between the methods for all samples. HPSEC analysis also revealed differences with the C-18 isolates exhibiting the highest molecular weights. Thus, it appears that each method isolates sufficiently different fractions of DOM that can only be delineated when a consortium of analytical methods are used to assay the samples. Nonetheless real differences between autochthonous and allochthonous derived DOM were observed with the algal-derived samples exhibiting high fluorescence ratios and lower aromaticity relative to the terrestrially derived materials. These results demonstrate that caution must be exercised when interpreting DOM reactivity data that rely upon the use of specific fractions.</t>
  </si>
  <si>
    <t>Ohio State Univ, Dept Geol Sci, Columbus, OH 43210 USA; Ohio State Univ, Dept Chem, Columbus, OH 43210 USA; Swiss Fed Inst Environm Sci &amp; Technol EAWAG, CH-8600 Dubendorf, Switzerland</t>
  </si>
  <si>
    <t>University System of Ohio; Ohio State University; University System of Ohio; Ohio State University; Swiss Federal Institutes of Technology Domain; Swiss Federal Institute of Aquatic Science &amp; Technology (EAWAG)</t>
  </si>
  <si>
    <t>Ohio State Univ, Dept Geol Sci, Columbus, OH 43210 USA.</t>
  </si>
  <si>
    <t>yo@geology.ohio-state.edu</t>
  </si>
  <si>
    <t>SPRINGER BASEL AG</t>
  </si>
  <si>
    <t>BASEL</t>
  </si>
  <si>
    <t>PICASSOPLATZ 4, BASEL, 4052, SWITZERLAND</t>
  </si>
  <si>
    <t>1015-1621</t>
  </si>
  <si>
    <t>1420-9055</t>
  </si>
  <si>
    <t>AQUAT SCI</t>
  </si>
  <si>
    <t>Aquat. Sci.</t>
  </si>
  <si>
    <t>10.1007/s00027-004-0735-4</t>
  </si>
  <si>
    <t>Environmental Sciences; Limnology; Marine &amp; Freshwater Biology</t>
  </si>
  <si>
    <t>901IX</t>
  </si>
  <si>
    <t>WOS:000227277300008</t>
  </si>
  <si>
    <t>Willes, AJ; Wu, K</t>
  </si>
  <si>
    <t>Radio emissions from terrestrial planets around white dwarfs</t>
  </si>
  <si>
    <t>ASTRONOMY &amp; ASTROPHYSICS</t>
  </si>
  <si>
    <t>stars : planetary systems; stars : white dwarfs; radiation mechanisms : non-thermal; radio continuum : general</t>
  </si>
  <si>
    <t>LOW-MASS STARS; EXTRASOLAR PLANETS; PERIOD BINARY; GIANT; IO; SOLAR; LUMINOSITY; ROTATION; GANYMEDE; JUPITER</t>
  </si>
  <si>
    <t>Terrestrial planets in close orbits around magnetic white dwarf stars are potential electron-cyclotron maser sources, by analogy to planetary radio emissions generated from the electrodynamic interaction between Jupiter and the Galilean moons. We present predictions of radio flux densities and the number of detectable white-dwarf/terrestrial-planet systems, and discuss a scenario for their formation.</t>
  </si>
  <si>
    <t>British Antarctic Survey, Cambridge CB3 0ET, England; Univ Sydney, Sch Phys, Sydney, NSW 2006, Australia; UCL, Mullard Space Sci Lab, Surrey, England</t>
  </si>
  <si>
    <t>UK Research &amp; Innovation (UKRI); Natural Environment Research Council (NERC); NERC British Antarctic Survey; University of Sydney; University of London; University College London</t>
  </si>
  <si>
    <t>British Antarctic Survey, Cambridge CB3 0ET, England.</t>
  </si>
  <si>
    <t>A.Willes@physics.usyd.edu.au; kw@mssl.ucl.ac.uk</t>
  </si>
  <si>
    <t>EDP SCIENCES S A</t>
  </si>
  <si>
    <t>LES ULIS CEDEX A</t>
  </si>
  <si>
    <t>17, AVE DU HOGGAR, PA COURTABOEUF, BP 112, F-91944 LES ULIS CEDEX A, FRANCE</t>
  </si>
  <si>
    <t>1432-0746</t>
  </si>
  <si>
    <t>ASTRON ASTROPHYS</t>
  </si>
  <si>
    <t>Astron. Astrophys.</t>
  </si>
  <si>
    <t>10.1051/0004-6361:20040417</t>
  </si>
  <si>
    <t>904JT</t>
  </si>
  <si>
    <t>WOS:000227494400030</t>
  </si>
  <si>
    <t>Kärkäs, E; Teinilä, K; Virkkula, A; Aurela, M</t>
  </si>
  <si>
    <t>Spatial variations of surface snow chemistry during two austral summers in western Dronning Maud Land, Antarctica</t>
  </si>
  <si>
    <t>Antarctica; snow; ionic concentrations; pH; contribution of dry deposition</t>
  </si>
  <si>
    <t>DRY DEPOSITION; SEA-SALT; SEASONAL-VARIATIONS; TRACE-ELEMENTS; FROST FLOWERS; FIRN CORES; ICE SHELF; AEROSOL; NITRATE; VARIABILITY</t>
  </si>
  <si>
    <t>The glaciochemical properties of snow were measured in western Dronning Maud Land during the austral summers of 1999/2000 and 2000/2001. The surface snow samples were taken along a 350-km transect from the seaward edge of the ice shelf to the Antarctic plateau and analysed for the presence of the major inorganic components SO2/(-)(4), NO3-, Cl-, NH4+, Na+, K+, Ca2+, Mg2+ and MSA. The sea-salt components and MSA decreased exponentially with increasing distance from the coast by about 64%/100 km. Non-sea-salt SO2/(-)(4) decreased also exponentially with the distance from the ice edge by 48%/100km. No substantial trend was observed for N03. The pH values calculated from the ionic balance were similar to those measured in the field, although the calculated pH values were an average of 0.6 lower. The fractions of the dry deposition of the ionic concentrations were estimated and the results reveal that they are low near the Finnish research station Aboa, usually less than 10% of the total deposition. (c) 2004 Elsevier Ltd. All rights reserved.</t>
  </si>
  <si>
    <t>Univ Helsinki, Dept Phys Sci, Div Geophys, FIN-00014 Helsinki, Finland; Finnish Meteorol Inst, Air Qual Res, FIN-00880 Helsinki, Finland</t>
  </si>
  <si>
    <t>University of Helsinki; Finnish Meteorological Institute</t>
  </si>
  <si>
    <t>Univ Helsinki, Dept Phys Sci, Div Geophys, POB 64, FIN-00014 Helsinki, Finland.</t>
  </si>
  <si>
    <t>eija.karkas@helsinki.fi</t>
  </si>
  <si>
    <t>Virkkula, Aki/B-8575-2014</t>
  </si>
  <si>
    <t>Virkkula, Aki/0000-0003-4874-7552</t>
  </si>
  <si>
    <t>10.1016/j.atmosenv.2004.11.027</t>
  </si>
  <si>
    <t>907GF</t>
  </si>
  <si>
    <t>WOS:000227703200004</t>
  </si>
  <si>
    <t>Eriksen, N; Miller, LA; Tougaard, J; Helweg, DA</t>
  </si>
  <si>
    <t>Cultural change in the songs of humpback whales (Megaptera novaeanglide) from Tonga</t>
  </si>
  <si>
    <t>BEHAVIOUR</t>
  </si>
  <si>
    <t>humpback whales; song change; cultural transmission</t>
  </si>
  <si>
    <t>EVOLUTION; HAWAIIAN</t>
  </si>
  <si>
    <t>Some humpback whales migrate annually from Antarctic feeding grounds to the seas around the Tongan Islands to give birth and mate. The Tongan humpbacks are considered part of Southern Hemisphere Group V that splits during migration, some swimming to Eastern Australia and others to various Polynesian Islands. During this time long complex songs are produced. The song is thought to be a male breeding display and may serve either as an intra-sexual or an inter-sexual signal or both. It is in a constant state of change that occurs every season. Since these changes are directional they cannot be described by drift, and singers incorporate changes as they occur, thus song must be shared through cultural transmission. This investigation describes the cultural changes that occurred in 158 songs recorded from Tongan humpbacks through the 1990s. The rate of change differed within years, some themes were retained for as much as five years and others were lost after only two years. The farther apart the years the less similar are the songs, as in the humpback songs of the Northern Hemisphere. The largest number of changes seems to have occurred in the early 1990s where all themes seemed to have been lost and new ones originated. What initiates these changes remains speculative, but we assess some hypotheses in relation to humpback whale behaviour and cultural transmission in avian song.</t>
  </si>
  <si>
    <t>Univ So Denmark, Inst Biol, DK-5230 Odense, Denmark; Natl Environm Engn Res Inst, DK-4000 Roskilde, Denmark; USGS, Pacif Isl Ecosyst Res Ctr, Honolulu, HI 96822 USA</t>
  </si>
  <si>
    <t>University of Southern Denmark; Aarhus University; United States Department of the Interior; United States Geological Survey</t>
  </si>
  <si>
    <t>Eriksen, N (corresponding author), Bispebjerg Univ Hosp, Res Lab Stereol &amp; Neurosci, Bispebjerg Bakke 23, DK-2400 Copenhagen, Denmark.</t>
  </si>
  <si>
    <t>neriksen@bi.ku.dk</t>
  </si>
  <si>
    <t>Tougaard, Jakob/G-4948-2011</t>
  </si>
  <si>
    <t>Tougaard, Jakob/0000-0002-4422-7800; Miller, Lee A./0000-0002-6004-1950</t>
  </si>
  <si>
    <t>BRILL ACADEMIC PUBLISHERS</t>
  </si>
  <si>
    <t>LEIDEN</t>
  </si>
  <si>
    <t>PLANTIJNSTRAAT 2, P O BOX 9000, 2300 PA LEIDEN, NETHERLANDS</t>
  </si>
  <si>
    <t>0005-7959</t>
  </si>
  <si>
    <t>Behaviour</t>
  </si>
  <si>
    <t>10.1163/1568539053778283</t>
  </si>
  <si>
    <t>Behavioral Sciences; Zoology</t>
  </si>
  <si>
    <t>943MG</t>
  </si>
  <si>
    <t>WOS:000230357500003</t>
  </si>
  <si>
    <t>What caused the Antarctic ice sheet?</t>
  </si>
  <si>
    <t>BULLETIN OF THE AMERICAN METEOROLOGICAL SOCIETY</t>
  </si>
  <si>
    <t>News Item</t>
  </si>
  <si>
    <t>0003-0007</t>
  </si>
  <si>
    <t>1520-0477</t>
  </si>
  <si>
    <t>B AM METEOROL SOC</t>
  </si>
  <si>
    <t>Bull. Amer. Meteorol. Soc.</t>
  </si>
  <si>
    <t>913CQ</t>
  </si>
  <si>
    <t>WOS:000228128600002</t>
  </si>
  <si>
    <t>Beck, CA; Iverson, SJ; Bowen, WD</t>
  </si>
  <si>
    <t>Blubber fatty acids of gray seals reveal sex differences in the diet of a size-dimorphic marine carnivore</t>
  </si>
  <si>
    <t>PRINCE-WILLIAM-SOUND; ANTARCTIC FUR SEALS; CHOBE NATIONAL-PARK; FORAGING BEHAVIOR; DIVING BEHAVIOR; HABITAT USE; GREY SEALS; PATTERNS; PREY; SEGREGATION</t>
  </si>
  <si>
    <t>Sex differences in foraging behaviour have been attributed to size dimorphism, niche divergence, and sex-specific fitness-maximizing strategies. Although sex differences in diving behaviour of marine carnivores are thought to result in sex differences in diet, this is not known for any species over temporal scales relevant to life-history characteristics. We examined blubber fatty acid (FA) profiles of gray seals, Halichoerus grypus (Fabricius, 1791), a sexually size-dimorphic species in which sex differences in foraging behaviour have been observed. FA profiles reflect prey consumed over a period of weeks or months. FA profiles of adult males and females varied significantly by season but there was a season by sex interaction, indicating that seasonal changes in diet differed by sex. FA profiles of adults also varied interannually, with a significant sex by year interaction. Interannual variability may have been a response to changes in ocean-bottom temperatures affecting prey availability or changes in prey abundance. Adult FA profiles differed from those of 6-month-old juveniles; however, there was no evidence of sex differences in the diet of younger animals. Our results indicate that sex differences in the foraging behaviour of adults are reflected in differences in diet at multiple temporal scales.</t>
  </si>
  <si>
    <t>Dalhousie Univ, Dept Biol, Halifax, NS B3H 4J1, Canada; Fisheries &amp; Oceans Canada, Bedford Inst Oceanog, Marine Fish Div, Dartmouth, NS B2Y 4A2, Canada</t>
  </si>
  <si>
    <t>Dalhousie University; Fisheries &amp; Oceans Canada; Bedford Institute of Oceanography</t>
  </si>
  <si>
    <t>Alaska Dept Fish &amp; Game, Div Wildlife Conservat, 525 W 67th Ave, Anchorage, AK 99518 USA.</t>
  </si>
  <si>
    <t>charlotte_beck@fishgame.state.ak.us</t>
  </si>
  <si>
    <t>Bowen, William D/D-2758-2012; Bowen, William/AAE-7204-2022</t>
  </si>
  <si>
    <t>Bowen, William/0000-0001-8334-5677; Iverson, Sara/0000-0003-2842-4094</t>
  </si>
  <si>
    <t>10.1139/Z05-021</t>
  </si>
  <si>
    <t>930JW</t>
  </si>
  <si>
    <t>WOS:000229413100001</t>
  </si>
  <si>
    <t>Coulon, F; Pelletier, E; Gourhant, L; Delille, D</t>
  </si>
  <si>
    <t>Effects of nutrient and temperature on degradation of petroleum hydrocarbons in contaminated sub-Antarctic soil</t>
  </si>
  <si>
    <t>sub-antarctic soil; fertilizer; crude oil; diesel; biostimulation; mesocosms</t>
  </si>
  <si>
    <t>MICROBIAL ACTIVITY; DIESEL FUEL; CRUDE-OIL; BIOREMEDIATION; BIODEGRADATION; BIOSTIMULATION; MICROORGANISMS; ENHANCEMENT; TOXICITY; BACTERIA</t>
  </si>
  <si>
    <t>Mesocosm studies using sub-Antarctic soil artificially contaminated with diesel or crude oil were conducted in Kerguelen Archipelago (49 degrees 21' S, 70 degrees 13' E) in an attempt to evaluate the potential of a bioremediation approach in high latitude environments. All mesocosms were sampled on a regular basis over six months period. Soils responded positively to temperature increase from 4 degrees C to 20 degrees C, and to the addition of a commercial oleophilic fertilizer containing N and P. Both factors increased the hydrocarbon-degrading microbial abundance and total petroleum hydrocarbons (TPH) degradation. In general, alkanes were faster degraded than polyaromatic hydrocarbons (PAHs). After 180 days, total alkane losses of both oils reached 77-95% whereas total PAHs never exceeded 80% with optimal conditions at 10 degrees C and fertilizer added. Detailed analysis of naphthalenes, dibenzothiophenes, phenanthrenes, and pyrenes showed a clear decrease of their degradation rate as a function of the size of the PAH molecules. During the experiment there was only a slight decrease in the toxicity, whereas the concentration of TPH decreased significantly during the same time. The most significant reduction in toxicity occurred at 4 degrees C. Therefore, bioremediation of hydrocarbon-contaminated sub-Antarctic soil appears to be feasible, and various engineering strategies, such as heating or amending the soil can accelerate hydrocarbon degradation. However, the residual toxicity of contaminated soil remained drastically high before the desired cleanup is complete and it can represent a limiting factor in the bioremediation of sub-Antarctic soil. (c) 2004 Elsevier Ltd. All rights reserved.</t>
  </si>
  <si>
    <t>Univ Paris 06, CNRS, UMR 7621, Lab Arago,Observ Oceanol Banyuls, F-66650 Banyuls sur Mer, France; Univ Quebec, Inst Sci Mer Rimouski, ISMER, Rimouski, PQ G5L 3A1, Canada</t>
  </si>
  <si>
    <t>Centre National de la Recherche Scientifique (CNRS); CNRS - National Institute for Earth Sciences &amp; Astronomy (INSU); Sorbonne Universite; University of Quebec</t>
  </si>
  <si>
    <t>Univ Paris 06, CNRS, UMR 7621, Lab Arago,Observ Oceanol Banyuls, F-66650 Banyuls sur Mer, France.</t>
  </si>
  <si>
    <t>daniel.delille@wanadoo.fr</t>
  </si>
  <si>
    <t>Coulon, Frederic/B-3227-2009; Daniel, Delille/S-9542-2019</t>
  </si>
  <si>
    <t>Coulon, Frederic/0000-0002-4384-3222; Gourhant, Lenaick/0000-0002-5761-8480</t>
  </si>
  <si>
    <t>10.1016/j.chemosphere.2004.10.007</t>
  </si>
  <si>
    <t>905SE</t>
  </si>
  <si>
    <t>WOS:000227589200016</t>
  </si>
  <si>
    <t>Qin, J; Wang, PX; Gong, Y</t>
  </si>
  <si>
    <t>Qin Jun; Wang Pan-xing; Gong Yan</t>
  </si>
  <si>
    <t>IMPACTS OF ANTARCTIC OSCILLATION ON SUMMER MOISTURE TRANSPORT AND PRECIPITATION IN EASTERN CHINA</t>
  </si>
  <si>
    <t>CHINESE GEOGRAPHICAL SCIENCE</t>
  </si>
  <si>
    <t>Antarctic Oscillation; moisture transport; summer precipitation anomaly; China</t>
  </si>
  <si>
    <t>RAINFALL</t>
  </si>
  <si>
    <t>Using NCEP/NCAR reanalysis data and monthly precipitation over 160 conventional stations in China, analyses of moisture transport characteristics and corresponding precipitation variation in the east part of China in summer are made, and studies are carried out on possible influence on moisture transport and precipitation in summer by the variation of Antarctic Oscillation (AAO). The results show that the abnormal variation of the AAO affected the summer precipitation in China significantly. The variation of AAO can cause the variation of intension and location of Northwestern Pacific High, which in turn cause the variation of summer monsoon rainfall in the eastern China.</t>
  </si>
  <si>
    <t>[Qin Jun; Wang Pan-xing; Gong Yan] Nanjing Univ Informat Sci &amp; Technol, Nanjing 210044, Peoples R China</t>
  </si>
  <si>
    <t>Nanjing University of Information Science &amp; Technology</t>
  </si>
  <si>
    <t>Qin, J (corresponding author), Nanjing Univ Informat Sci &amp; Technol, Nanjing 210044, Peoples R China.</t>
  </si>
  <si>
    <t>qinjunnj@126.com</t>
  </si>
  <si>
    <t>National Natural Science Foundation of China [40233037]</t>
  </si>
  <si>
    <t>National Natural Science Foundation of China(National Natural Science Foundation of China (NSFC))</t>
  </si>
  <si>
    <t>Foundation item: Under the auspices of the National Natural Science Foundation of China (No. 40233037)</t>
  </si>
  <si>
    <t>1002-0063</t>
  </si>
  <si>
    <t>1993-064X</t>
  </si>
  <si>
    <t>CHINESE GEOGR SCI</t>
  </si>
  <si>
    <t>Chin. Geogr. Sci.</t>
  </si>
  <si>
    <t>10.1007/s11769-003-0064-x</t>
  </si>
  <si>
    <t>V97IZ</t>
  </si>
  <si>
    <t>WOS:000206580500004</t>
  </si>
  <si>
    <t>Marchenko, AB; Makshtas, A</t>
  </si>
  <si>
    <t>A dynamic model of ice ridge buildup</t>
  </si>
  <si>
    <t>COLD REGIONS SCIENCE AND TECHNOLOGY</t>
  </si>
  <si>
    <t>ice ridges; rafted ice; discontinuity lines; energy dissipation; potential energy; elastic energy; internal stresses</t>
  </si>
  <si>
    <t>Dynamic models of ice rafting and ice ridge buildup are elaborated. The milestone of the models is the conception of a ridgeline accumulating broken ice due to vertical displacements of ice blocks separated from the edges of compressed floes. The ridgeline is considered as a discontinuity line over which ice drift velocity is changed by a leap. The estimated characteristics of ice continuum along the ridgeline are the linear densities of volume, impulse, and energy. The equations describing the motion of the ridgeline and the growth of ridge volume are constructed. The expression for internal ice stress on the ridgeline is found in explicit form for arbitrary scenario of ridge buildup. Elaborated theory is used for the estimations of ice stresses for most typically observed scenarios of ice rafting and ice ridging. Simulated stresses are compared with the results of laboratory experiments and discrete particle modeling. (C) 2004 Elsevier B.V. All rights reserved.</t>
  </si>
  <si>
    <t>Russian Acad Sci, Inst Gen Phys, Dept Theoret, Moscow 117952, Russia; Arctic &amp; Antarctic Res Inst, St Petersburg 199226, Russia; Univ Alaska Fairbanks, Int Arctic Res Ctr, Fairbanks, AK 99775 USA</t>
  </si>
  <si>
    <t>Russian Academy of Sciences; Prokhorov General Physics Institute of the Russian Academy of Sciences; Arctic &amp; Antarctic Research Institute; University of Alaska System; University of Alaska Fairbanks</t>
  </si>
  <si>
    <t>RAS, Inst Gen Phys, Vavilova Str 38, Moscow 115409, Russia.</t>
  </si>
  <si>
    <t>amarch@kapella.gpi.ru</t>
  </si>
  <si>
    <t>Marchenko, Aleksey/GSD-3516-2022</t>
  </si>
  <si>
    <t>Marchenko, Aleksey/0000-0003-4169-0063</t>
  </si>
  <si>
    <t>0165-232X</t>
  </si>
  <si>
    <t>1872-7441</t>
  </si>
  <si>
    <t>COLD REG SCI TECHNOL</t>
  </si>
  <si>
    <t>Cold Reg. Sci. Tech.</t>
  </si>
  <si>
    <t>10.1016/j.coldregions.2004.10.004</t>
  </si>
  <si>
    <t>Engineering, Environmental; Engineering, Civil; Geosciences, Multidisciplinary</t>
  </si>
  <si>
    <t>Engineering; Geology</t>
  </si>
  <si>
    <t>903NR</t>
  </si>
  <si>
    <t>WOS:000227433300002</t>
  </si>
  <si>
    <t>Ward, P; Shreeve, R; Whitehouse, M; Korb, B; Atkinson, A; Meredith, M; Pond, D; Watkins, J; Goss, C; Cunningham, N</t>
  </si>
  <si>
    <t>Phyto- and zooplankton community structure and production around South Georgia (Southern Ocean) during Summer 2001/02</t>
  </si>
  <si>
    <t>Southern Ocean; phytoplankton; zooplankton; community structure; production; South Georgia</t>
  </si>
  <si>
    <t>ANTARCTIC CIRCUMPOLAR CURRENT; KRILL-COPEPOD INTERACTIONS; EUPHAUSIA-SUPERBA DANA; EGG-PRODUCTION; ACARTIA-TONSA; CHLOROPHYLL-A; WEDDELL-SEA; GROWTH; DISTRIBUTIONS; TEMPERATURE</t>
  </si>
  <si>
    <t>During Austral summer 2001/02 the spatial distribution of phytoplankton and zooplankton communities and associated production processes were investigated in waters to the north of the island of South Georgia. Nearest neighbour cluster analysis of phytoplankton and zooplankton data sets indicated the presence of 3 major station groupings within each analysis that collectively had great geographic integrity. Thus a shelf station group was characterised by low phytoplankton biomass and primary production rates (median values 69 mg chl a m(-2); 418 mg C m(-2) d(-1), respectively) and a dominance of nano- and pico-phytoplankton, on the one hand, and low overall mesozooplankton levels (median 50,135 ind. m(-2)), which was also coincident with elevated krill biomass, on the other. At the western end of the island high mesozooplankton abundance (median &gt; 250,000 ind. m(-2)) in oceanic waters was co-incident with a phytoplankton bloom that originated over the North West Georgia Rise (NWGR). These 'bloom' stations were characterised by high phytoplankton biomass and primary production rates (median 218 mg m(-2) and 916 mg C m(-2) d(-1), respectively) and were dominated by microphytoplankton. This elevated production was associated with an anticyclonic eddy which was considered to have been initiated where the Southern Antarctic Circumpolar Current Front (SACCF) interacted with the bathymetry of the NWGR. SeaWiFS and drifter buoy data indicated that this production was subsequently entrained and transported cyclonically around the Georgia Basin downstream from the island. In contrast, at the eastern end of the island, in waters south of the SACCF, phytoplankton biomass and primary production rates were lower (median 40 mg m(-2) and 214 mg C m(-2) d(-1), respectively) although median zooplankton abundance was intermediate (similar to 157,000 ind. m(-2)). Of the environmental variables measured in this study the proportion of microphytoplankton within samples, rather than for example, phytoplankton biomass, explained the greatest proportion of the variance associated with the carbon mass of individual copepod species stages, egg production rates and total zooplankton abundance. We conclude that stations in the western and eastern oceanic regions were dominated by bottom up controls, with physical forcing and adequate nutrient availability leading to bloom conditions of large diatoms in the west, whereas in the east, phytoplankton growth was lower (possibly due to micronutrient limitation) and zooplankton abundance was lower. Over the shelf we suggest that a higher average biomass of krill (similar to 80 g wet mass m(-2)) compared to offshelf (43 g wet mass m(-2)) may have exerted top down control and grazed out chl a and thus have been responsible for low mesozooplankton abundance. (c) 2004 Elsevier Ltd. All rights reserved.</t>
  </si>
  <si>
    <t>British Antarctic Survey, NERC, High Cross Site,Madingley Rd, Cambridge CB3 0ET, England.</t>
  </si>
  <si>
    <t>pwar@nerc-bas.ac.uk</t>
  </si>
  <si>
    <t>Cunningham, Nathan J/B-9591-2008; Atkinson, Angus/HOH-3417-2023</t>
  </si>
  <si>
    <t>Cunningham, Nathan/0000-0003-4941-504X; Meredith, Michael/0000-0002-7342-7756</t>
  </si>
  <si>
    <t>10.1016/j.dsr.2004.10.003</t>
  </si>
  <si>
    <t>911LK</t>
  </si>
  <si>
    <t>WOS:000228003800002</t>
  </si>
  <si>
    <t>Alekseev, GV; Nagurnyi, AP</t>
  </si>
  <si>
    <t>Influence of sea ice cover on carbon dioxide concentration in the arctic atmosphere in the winter period</t>
  </si>
  <si>
    <t>Arctic &amp; Antarctic Res Inst, St Petersburg 199397, Russia</t>
  </si>
  <si>
    <t>Arctic &amp; Antarctic Research Institute</t>
  </si>
  <si>
    <t>Alekseev, GV (corresponding author), Arctic &amp; Antarctic Res Inst, Ul Beringa 38, St Petersburg 199397, Russia.</t>
  </si>
  <si>
    <t>alexgv@aari.nw.ru</t>
  </si>
  <si>
    <t>MAR-APR</t>
  </si>
  <si>
    <t>401A</t>
  </si>
  <si>
    <t>929QZ</t>
  </si>
  <si>
    <t>WOS:000229362200036</t>
  </si>
  <si>
    <t>Thatje, S; Anger, K; Calcagno, JA; Lovrich, GA; Pörtner, HO; Arntz, WE</t>
  </si>
  <si>
    <t>Challenging the cold:: Crabs reconquer the Antarctic</t>
  </si>
  <si>
    <t>ECOLOGY</t>
  </si>
  <si>
    <t>Antarctic; biodiversity; climate change; crabs; evolution; marine ecosystems; temperature adaptation</t>
  </si>
  <si>
    <t>LECITHOTROPHIC LARVAL DEVELOPMENT; LITHODES-AEQUISPINUS ANOMURA; LA MESETA FORMATION; SOUTHERN KING CRAB; PARALOMIS-GRANULOSA; PARALITHODES-CAMTSCHATICA; DIFFERENT TEMPERATURES; CHEMICAL-COMPOSITION; DECAPOD CRUSTACEANS; SANTOLLA MOLINA</t>
  </si>
  <si>
    <t>Recent records of lithodid crabs in deeper waters off the Antarctic continental slope raised the question of the return of crabs to Antarctic waters, following their extinction in the lower Miocene similar to 15 million years ago. Antarctic cooling may be responsible for the impoverishment of the marine high Antarctic decapod fauna, presently comprising only five benthic shrimp species. Effects of polar conditions on marine life, including lowered metabolic rates and short seasonal food availability, are discussed as main evolutionary driving forces shaping Antarctic diversity. In particular, planktotrophic larval stages should, be vulnerable to the mismatch of prolonged development and short periods of food availability, selecting against complex life cycles. We hypothesize that larval lecithotrophy and cold tolerance, as recently observed in Subantarctic lithodids, represent, together with other adaptations in the adults, key features among the life-history adaptations of lithodids, potentially enabling them to conquer polar ecosystems. The return of benthic top predators to high Antarctic waters under conditions of climate change would considerably alter the benthic communities.</t>
  </si>
  <si>
    <t>Alfred Wegener Inst Polar &amp; Marine Res, D-27568 Bremerhaven, Germany; Biol Anstalt Helgoland, Fdn Alfred Wegener Inst, Helgoland, Germany; Univ Buenos Aires, Fac Ciencias Exactas &amp; Nat, Buenos Aires C1428EHA, DF, Argentina; Consejo Nacl Invest Cient &amp; Tecn, Ctr Austral Invest Cientif, Ushuaia, Tierra Fuego, Argentina</t>
  </si>
  <si>
    <t>Helmholtz Association; Alfred Wegener Institute, Helmholtz Centre for Polar &amp; Marine Research; Helmholtz Association; Alfred Wegener Institute, Helmholtz Centre for Polar &amp; Marine Research; University of Buenos Aires; Consejo Nacional de Investigaciones Cientificas y Tecnicas (CONICET)</t>
  </si>
  <si>
    <t>Thatje, S (corresponding author), Alfred Wegener Inst Polar &amp; Marine Res, Columbus Str, D-27568 Bremerhaven, Germany.</t>
  </si>
  <si>
    <t>sthatje@awi-bremerhaven.de</t>
  </si>
  <si>
    <t>Pörtner, Hans-O./0000-0001-6535-6575; Lovrich, Gustavo/0000-0001-8424-6566</t>
  </si>
  <si>
    <t>ECOLOGICAL SOC AMER</t>
  </si>
  <si>
    <t>1990 M STREET NW, STE 700, WASHINGTON, DC 20036 USA</t>
  </si>
  <si>
    <t>0012-9658</t>
  </si>
  <si>
    <t>1939-9170</t>
  </si>
  <si>
    <t>10.1890/04-0620</t>
  </si>
  <si>
    <t>906RJ</t>
  </si>
  <si>
    <t>Green Accepted, Green Submitted, Green Published</t>
  </si>
  <si>
    <t>WOS:000227659700011</t>
  </si>
  <si>
    <t>Sushchevskaya, NM; Cherkashov, GA; Baranov, BV; Tomaki, K; Sato, H; Nguyen, H; Belyatsky, BV; Tsekhonya, TI</t>
  </si>
  <si>
    <t>Tholeiitic magmatism of an ultraslow spreading environment: An example from the Knipovich Ridge, North Atlantic</t>
  </si>
  <si>
    <t>GEOCHEMISTRY INTERNATIONAL</t>
  </si>
  <si>
    <t>NORWEGIAN-GREENLAND SEA; RIFT ZONES; JAN-MAYEN; MANTLE; BASALTS; HETEROGENEITY; GEOCHEMISTRY; GENERATION; ICELAND; OCEAN</t>
  </si>
  <si>
    <t>This paper presents the results of a petrological and geochemical investigation of basalts from the slow-spreading Knipovich Ridge, which were recovered during a Russian-Japanese cooperative cruise of the R/V Professor Logachev in September 2000 (Knipovich 2000 expedition) in the regions of modern volcanic activity (regions of volcanic rises at 76 degrees N and 77 degrees N). A comparison of the compositions of basaltic glasses from these regions showed that they are similar to each other and belong to the Na-TOR type, which is characterized by the shallowest conditions of melt generation. Tholeiites of this type, whose primary melts are enriched in Na and Si and depleted in Fe, were found in relatively cold segments of the oceanic lithosphere, for instance, in the Equatorial Mid-Atlantic Ridge, regions of the Australian-Antarctic Discordance, the Cayman Trough, the North Weddell Ridge, the Bransfield spreading zone, and the eastern end of the Southwest Indian Ridge. With respect to lithophile element enrichment and isotopic ratios (Sr-87/Sr-86, Nd-143/Nd-144, and Pb-206/Pb-204), the melts of the Knipovich Ridge are similar to magmas extruding in all Arctic spreading zones. Their enriched component shows high Sr-87/Sr-86 (0.7035), Pb-207/Pb-206 (15.55), and Pb-206/Pb-204 (19) and low Nd-143/Nd-144 (0.5129) ratios. The basalts of Iceland, Jan Mayen, and West Greenland are also geochemically similar to the Arctic rift magmas, which testifies to the existence of a common enriched reservoir beneath the North Atlantic from the beginning of its opening.</t>
  </si>
  <si>
    <t>Russian Acad Sci, VI Vernadskii Inst Geochem &amp; Analyt Chem, Moscow 119991, Russia; VNIIOkeanol, St Petersburg 190121, Russia; Russian Acad Sci, Shirshov Inst Oceanol, Moscow 117997, Russia; Univ Tokyo, Ocean Res Inst, Tokyo 1648639, Japan; Russian Acad Sci, Inst Precambrian Geol &amp; Geochronol, St Petersburg 199034, Russia</t>
  </si>
  <si>
    <t>Russian Academy of Sciences; Vernadsky Institute of Geochemistry &amp; Analytical Chemistry; Russian Academy of Sciences; Shirshov Institute of Oceanology; University of Tokyo; Russian Academy of Sciences; Institute of Precambrian Geology &amp; Geochronology of the Russian Academy of Sciences</t>
  </si>
  <si>
    <t>Sushchevskaya, NM (corresponding author), Russian Acad Sci, VI Vernadskii Inst Geochem &amp; Analyt Chem, Ul Kosygina 19, Moscow 119991, Russia.</t>
  </si>
  <si>
    <t>nadyas@geokhi.ru; boris@BB14013spb.edu</t>
  </si>
  <si>
    <t>Cherkashov, Georgy A/N-6949-2013; Belyatsky, Boris/V-6644-2019; Tsekhonya, Tatiana I/A-5313-2016</t>
  </si>
  <si>
    <t>Cherkashov, Georgy A/0000-0002-9870-6428; Belyatsky, Boris/0000-0002-4022-9366;</t>
  </si>
  <si>
    <t>0016-7029</t>
  </si>
  <si>
    <t>1556-1968</t>
  </si>
  <si>
    <t>GEOCHEM INT+</t>
  </si>
  <si>
    <t>Geochem. Int.</t>
  </si>
  <si>
    <t>915DC</t>
  </si>
  <si>
    <t>WOS:000228276900002</t>
  </si>
  <si>
    <t>Hebden, R</t>
  </si>
  <si>
    <t>Antarctic: The complete story</t>
  </si>
  <si>
    <t>GEOGRAPHY</t>
  </si>
  <si>
    <t>GEOGRAPHICAL ASSOC</t>
  </si>
  <si>
    <t>SHEFFIELD</t>
  </si>
  <si>
    <t>160 SOLLY ST, SHEFFIELD S1 4BF, S YORKSHIRE, ENGLAND</t>
  </si>
  <si>
    <t>0016-7487</t>
  </si>
  <si>
    <t>Geography</t>
  </si>
  <si>
    <t>SPR</t>
  </si>
  <si>
    <t>899DS</t>
  </si>
  <si>
    <t>WOS:000227125700015</t>
  </si>
  <si>
    <t>Bentley, MJ; Hodgson, DA; Sugden, DE; Roberts, SJ; Smith, JA; Leng, MJ; Bryant, C</t>
  </si>
  <si>
    <t>Early Holocene retreat of the George VI Ice Shelf, Antarctic Peninsula</t>
  </si>
  <si>
    <t>ice shelves; Antarctic Peninsula; Holocene; paleoclimate; Circumpolar Deep Water</t>
  </si>
  <si>
    <t>GLACIAL HISTORY; SOUTHERN-OCEAN; ISLAND; VARIABILITY; SOUND; CORE; AREA</t>
  </si>
  <si>
    <t>The recent collapse of several Antarctic Peninsula ice shelves has been linked to rapid regional atmospheric warming during the twentieth century. New high-resolution lake sediment records of Holocene ice-shelf behavior show that the George VI Ice Shelf was absent beginning ca. 9595 calibrated (cal.) yr B.P., but reformed by ca. 7945 cal. yr B.P. This retreat immediately followed a period of maximum Holocene warmth that is recorded in some ice cores and occurred at the same time as an influx of warmer ocean water onto the Antarctic Peninsula shelf. The absence of the ice shelf suggests that early Holocene ocean-atmosphere variability in the Antarctic Peninsula was greater than that measured in recent decades.</t>
  </si>
  <si>
    <t>Univ Durham, Dept Geog, Durham DH1 3LE, England; British Antarctic Survey, NERC, Cambridge CB3 0ET, England; Univ Edinburgh, Sch Geosci, Inst Geog, Edinburgh EH8 9XP, Midlothian, Scotland; British Antarctic Survey, NERC, Cambridge CB3 0ET, England; British Geol Survey, Nat Environm Res Council, Isotope Geosci Lab, Keyworth NG12 5GG, Notts, England; Univ Nottingham, Sch Geog, Nottingham NG7 2RD, England; NERC, Radiocarbon Lab, Glasgow G75 0QF, Lanark, Scotland</t>
  </si>
  <si>
    <t>Durham University; UK Research &amp; Innovation (UKRI); Natural Environment Research Council (NERC); NERC British Antarctic Survey; University of Edinburgh; UK Research &amp; Innovation (UKRI); Natural Environment Research Council (NERC); NERC British Antarctic Survey; UK Research &amp; Innovation (UKRI); Natural Environment Research Council (NERC); NERC British Geological Survey; University of Nottingham; UK Research &amp; Innovation (UKRI); Natural Environment Research Council (NERC); NERC British Geological Survey</t>
  </si>
  <si>
    <t>Bentley, MJ (corresponding author), Univ Durham, Dept Geog, Durham DH1 3LE, England.</t>
  </si>
  <si>
    <t>Bentley, Michael J/0000-0002-2048-0019; Leng, Melanie/0000-0003-1115-5166; Roberts, Stephen/0000-0003-3407-9127</t>
  </si>
  <si>
    <t>Natural Environment Research Council [bgs03002] Funding Source: researchfish; NERC [bgs03002] Funding Source: UKRI</t>
  </si>
  <si>
    <t>Natural Environment Research Council(UK Research &amp; Innovation (UKRI)Natural Environment Research Council (NERC)); NERC(UK Research &amp; Innovation (UKRI)Natural Environment Research Council (NERC))</t>
  </si>
  <si>
    <t>10.1130/G21203.1</t>
  </si>
  <si>
    <t>904IA</t>
  </si>
  <si>
    <t>WOS:000227488100004</t>
  </si>
  <si>
    <t>Grimes, ST; Hooker, JJ; Collinson, ME; Mattey, DP</t>
  </si>
  <si>
    <t>Summer temperatures of late Eocene to early Oligocene freshwaters</t>
  </si>
  <si>
    <t>Eocene-Oligocene transition; stable isotopes; teeth; mammals</t>
  </si>
  <si>
    <t>OXYGEN ISOTOPES; BEMBRIDGE MARLS; ASSEMBLAGES; DELTA-O-18; EUSTASY; CLIMATE</t>
  </si>
  <si>
    <t>The marine foraminiferal isotope record displays a positive 8180 shift early in the Oligocene, which has been identified as the onset of the Antarctic Oi-1 glaciation. Reported here are the first oxygen isotope-derived summer palleotemperatures for continental freshwater in the Northern Hemisphere (Hampshire Basin, Isle of Wight, UK) leading up to and across this event. These paleotemperatures are derived from multiple paleoproxies (rodent tooth enamel, gastropod shells, charophyte gyrogonites, and fish otoliths) and are independent of freshwater evaporation effects and changes in ice volume. We conclude that a fluctuating mesothermal climate existed, but that there was no significant decrease in summer temperatures across the Oi-1 glaciation. This result is concordant with several other studies in suggesting that the majority of the isotopic shift in the marine realm across the Oi-1 glaciation is linked to changes in Antarctic ice volume and not to global temperature change. Our new approach has allowed us to derive numerical values for summer temperatures as well as to reconstruct relative temperature change across this key interval of the Eocene-Oligocene transition.</t>
  </si>
  <si>
    <t>Nat Hist Museum, Dept Palaeontol, London SW7 5BD, England; Univ London, Royal Holloway &amp; Bedford New Coll, Dept Geol, Egham TW20 0EX, Surrey, England</t>
  </si>
  <si>
    <t>Natural History Museum London; University of London; Royal Holloway University London</t>
  </si>
  <si>
    <t>Univ Plymouth, Sch Earth Ocean &amp; Environm Sci, Drake Circus, Plymouth PL4 8AA, Devon, England.</t>
  </si>
  <si>
    <t>10.1130/G21019.1</t>
  </si>
  <si>
    <t>WOS:000227488100008</t>
  </si>
  <si>
    <t>Stern, TA; Baxter, AK; Barrett, PJ</t>
  </si>
  <si>
    <t>Isostatic rebound due to glacial erosion within the Transantarctic Mountains</t>
  </si>
  <si>
    <t>isostasy; flexure; Transantarctic Mountains; glacial erosion; isostatic rebound</t>
  </si>
  <si>
    <t>ANTARCTIC ICE-SHEET; SOUTHERN VICTORIA LAND; LANDSCAPE EVOLUTION; CLIMATE-CHANGE; UPLIFT; EAST; RELIEF; WEST; LITHOSPHERE; CONSTRAINTS</t>
  </si>
  <si>
    <t>In temperate climates, similar to25% of peak elevations in mountain ranges can be created by isostatic rebound as a response to erosional incision. Significantly more relief generation and peak uplift are, however, possible for glacial erosion in a polar climate. We incorporate regional isostasy using flexure of an elastic plate to show that isostatic rebound as a response to glacial incision can account for as much as 2000 m or 50% of peak elevation in the central Transantarctic Mountains. Differences in relief of at least 5500 m over lateral distances of just 40 km are evident within the central part of the 3000-km-long mountain range. Such strong relief is possible because a polar climate since the middle Miocene has resulted in freezing conditions at high elevations, which acted to preserve the peaks, whereas wet-based glaciers at low elevations have produced optimal conditions for enhanced glacial incision. Because isostatic rebound results in permanent peak uplift, this mechanism provides an explanation of why the Transantarctic Mountains are one of the higher and more long-lived continental rift margins on Earth.</t>
  </si>
  <si>
    <t>Victoria Univ Wellington, Sch Earth Sci, Wellington, New Zealand</t>
  </si>
  <si>
    <t>Baxter, AK (corresponding author), Victoria Univ Wellington, Sch Earth Sci, Wellington, New Zealand.</t>
  </si>
  <si>
    <t>Stern, Tim/0000-0002-2986-3278</t>
  </si>
  <si>
    <t>10.1130/G21068.1</t>
  </si>
  <si>
    <t>WOS:000227488100016</t>
  </si>
  <si>
    <t>Lubick, N</t>
  </si>
  <si>
    <t>Paleo-Antarctic puzzle</t>
  </si>
  <si>
    <t>GEOTIMES</t>
  </si>
  <si>
    <t>AMER GEOLOGICAL INST</t>
  </si>
  <si>
    <t>4220 KING ST, ALEXANDRIA, VA 22302-1507 USA</t>
  </si>
  <si>
    <t>0016-8556</t>
  </si>
  <si>
    <t>Geotimes</t>
  </si>
  <si>
    <t>905XW</t>
  </si>
  <si>
    <t>WOS:000227605800012</t>
  </si>
  <si>
    <t>Robinson, SA; Turnbull, JD; Lovelock, CE</t>
  </si>
  <si>
    <t>Impact of changes in natural ultraviolet radiation on pigment composition, physiological and morphological characteristics of the Antarctic moss, Grimmia antarctici</t>
  </si>
  <si>
    <t>GLOBAL CHANGE BIOLOGY</t>
  </si>
  <si>
    <t>anthocyanins; beta-carotene; chlorophyll; chlorophyll fluorescence; leaf morphology; surface reflectance; UV-B-absorbing pigments; xanthophyll cycle pigments</t>
  </si>
  <si>
    <t>UV-B RADIATION; TIERRA-DEL-FUEGO; OZONE DEPLETION; DNA-DAMAGE; OPTICAL-PROPERTIES; BALANCING DAMAGE; PLANTS; SPHAGNUM; GROWTH; PHOTOSYNTHESIS</t>
  </si>
  <si>
    <t>The impact of ambient ultraviolet (UV)-B radiation on the endemic bryophyte, Grimmia antarctici, was studied over 14 months in East Antarctica. Over recent decades, Antarctic plants have been exposed to the largest relative increase in UV-B exposure as a result of ozone depletion. We investigated the effect of reduced UV and visible radiation on the pigment concentrations, surface reflectance and physiological and morphological parameters of this moss. Plexiglass screens were used to provide both reduced UV levels (77%) and a 50% decrease in total radiation. The screen combinations were used to separate UV photoprotective from visible photoprotective strategies, because these bryophytes are growing in relatively high light environments compared with many mosses. G. antarctici was affected negatively by ambient levels of UV radiation. Chlorophyll content was significantly lower in plants grown under near-ambient UV, while the relative proportions of photoprotective carotenoids, especially beta-carotene and zeaxanthin, increased. However, no evidence for the accumulation of UV-B-absorbing pigments in response to UV radiation was observed. Although photosynthetic rates were not affected, there was evidence of UV effects on morphology. Plants that were shaded showed fewer treatment responses and these were similar to the natural variation observed between moss growing on exposed microtopographical ridges and in more sheltered valleys within the turf. Given that other Antarctic bryophytes possess UV-B-absorbing pigments which should offer better protection under ambient UV-B radiation, these findings suggest that G. antarctici may be disadvantaged in some settings under a climate with continuing high levels of springtime UV-B radiation.</t>
  </si>
  <si>
    <t>Univ Wollongong, Inst Conservat Biol, Wollongong, NSW 2522, Australia; Smithsonian Environm Res Ctr, Edgewater, MD 21037 USA</t>
  </si>
  <si>
    <t>University of Wollongong; Smithsonian Institution; Smithsonian Environmental Research Center</t>
  </si>
  <si>
    <t>Univ Wollongong, Inst Conservat Biol, Northfields Ave, Wollongong, NSW 2522, Australia.</t>
  </si>
  <si>
    <t>sharonr@uow.edu.au</t>
  </si>
  <si>
    <t>Robinson, Sharon/B-2683-2008; Lovelock, Catherine E/G-7370-2012; Lovelock, Catherine E./AAF-7294-2020</t>
  </si>
  <si>
    <t>Robinson, Sharon/0000-0002-7130-9617; Lovelock, Catherine E./0000-0002-2219-6855; Turnbull, Johanna/0000-0002-4214-1675</t>
  </si>
  <si>
    <t>1354-1013</t>
  </si>
  <si>
    <t>1365-2486</t>
  </si>
  <si>
    <t>GLOBAL CHANGE BIOL</t>
  </si>
  <si>
    <t>Glob. Change Biol.</t>
  </si>
  <si>
    <t>10.1111/j.1365-2486.2005.00911.x</t>
  </si>
  <si>
    <t>Biodiversity Conservation; Ecology; Environmental Sciences</t>
  </si>
  <si>
    <t>909CQ</t>
  </si>
  <si>
    <t>WOS:000227837000008</t>
  </si>
  <si>
    <t>Pavés, H; Pequeño, G; Bertrán, C; Vargas, L</t>
  </si>
  <si>
    <t>Limnetic feeding in Eleginops maclovinus (Valenciennes, 1830) in the Valdivia River, Chile</t>
  </si>
  <si>
    <t>INTERCIENCIA</t>
  </si>
  <si>
    <t>Eleginops; Eleginopidae; feeding shifts; osmoregulation; south America</t>
  </si>
  <si>
    <t>SPECIES-SPECIFIC RELATIONSHIPS; SEAGRASS BED; INVERTEBRATES; MACROINFAUNA; VEGETATION; ESTUARY; FISH</t>
  </si>
  <si>
    <t>Eleginops maclovinus is a common fish in littoral, estuarine, and tidally influenced riverine environments in southern South America and the Malvinas Islands. Its feeding habits were previously studied in littoral and estuarine environments, where it was observed to feed on autochthonous fauna (estuarine mussels, marine crustaceans, polychaets, etc.). The present study is the first report on the feeding habits of this species in the riverine (limnetic) environment. The contents of 98 stomachs out of 114 specimens of E. maclovinus analyzed revealed the presence of fauna characteristic of low-salinity environments inhabited by the fishes, confirming this species to be unusually versatile in trophic capability. This versatility is permitted by a broad scope of osmoregulatory capability at the digestive level, which is probably one of the most adaptable among the suborder Notothenioidei, a group of probable Antarctic evolutionary origin.</t>
  </si>
  <si>
    <t>Univ Austral Chile, Inst Zool Ernst F Kilian, Valdivia, Chile; Oregon State Univ, Corvallis, OR 97331 USA; Univ Concepcion, Concepcion, Chile; Univ Cadiz, Cadiz, Spain</t>
  </si>
  <si>
    <t>Universidad Austral de Chile; Oregon State University; Universidad de Concepcion; Universidad de Cadiz</t>
  </si>
  <si>
    <t>Pavés, H (corresponding author), Univ Austral Chile, Inst Zool Ernst F Kilian, Casilla 567, Valdivia, Chile.</t>
  </si>
  <si>
    <t>gpequeno@uach.cl</t>
  </si>
  <si>
    <t>Paves, Hector/0000-0002-3550-4335</t>
  </si>
  <si>
    <t>CARACAS</t>
  </si>
  <si>
    <t>APARTADO 51842, CARACAS 1050A, VENEZUELA</t>
  </si>
  <si>
    <t>0378-1844</t>
  </si>
  <si>
    <t>Interciencia</t>
  </si>
  <si>
    <t>+</t>
  </si>
  <si>
    <t>915OH</t>
  </si>
  <si>
    <t>WOS:000228313100002</t>
  </si>
  <si>
    <t>Zubakin, GK; Gudoshnikov, YP; Naumov, AK; Stepanov, IV; Kubyshkin, NV</t>
  </si>
  <si>
    <t>Peculiarities of the structure and properties of ice ridges in the eastern Barents Sea based on the 2003 expedition data</t>
  </si>
  <si>
    <t>INTERNATIONAL JOURNAL OF OFFSHORE AND POLAR ENGINEERING</t>
  </si>
  <si>
    <t>6th ISOPE Pacific/Asia Offshore Mechanics Symposium</t>
  </si>
  <si>
    <t>SEP 12-16, 2004</t>
  </si>
  <si>
    <t>Far Eastern State Tech Univ, Vladivostock, RUSSIA</t>
  </si>
  <si>
    <t>Far Eastern State Tech Univ</t>
  </si>
  <si>
    <t>Barents Sea; hummocks; ice</t>
  </si>
  <si>
    <t>Based on the field research carried out in May 2003 in the eastern part of the Barents Sea, we examined the ensemble of characteristics of 2-year-old ice hummocks, as well as the main features distinguishing them from the annual hummocks of the Barents Sea and other areas of the Arctic regions. Second-year ice floes, on which the ice testing work was carried out, have been found in the immediate proximity of the Shtokman gas condensate deposit. Their occurrence in this area is considered an abnormal phenomenon, caused by the Barents Sea's receiving residual and 2-year-old ice from the northeastern Kara Sea in the winter of 2002-03.</t>
  </si>
  <si>
    <t>Arctic &amp; Antarctic Res Inst, St Petersburg 199226, Russia</t>
  </si>
  <si>
    <t>Arctic &amp; Antarctic Res Inst, St Petersburg 199226, Russia.</t>
  </si>
  <si>
    <t>Naumov, Alexander Kondratevich/A-1581-2014</t>
  </si>
  <si>
    <t>INT SOC OFFSHORE POLAR ENGINEERS</t>
  </si>
  <si>
    <t>CUPERTINO</t>
  </si>
  <si>
    <t>PO BOX 189, CUPERTINO, CA 95015-0189 USA</t>
  </si>
  <si>
    <t>1053-5381</t>
  </si>
  <si>
    <t>INT J OFFSHORE POLAR</t>
  </si>
  <si>
    <t>Int. J. Offshore Polar Eng.</t>
  </si>
  <si>
    <t>Engineering, Civil; Engineering, Ocean; Engineering, Mechanical</t>
  </si>
  <si>
    <t>904GL</t>
  </si>
  <si>
    <t>WOS:000227484000005</t>
  </si>
  <si>
    <t>Pujalte, MJ; Macián, MC; Arahal, DR; Ludwig, W; Schleifer, KH; Garay, E</t>
  </si>
  <si>
    <t>Nereida ignava gen. nov., sp nov., a novel aerobic marine α-proteobacterium that is closely related to uncultured Prionitis (alga) gall symbionts</t>
  </si>
  <si>
    <t>ANTARCTIC SEA-ICE; BACTERIA; ENVIRONMENT; LANCEOLATA; DIVERSITY; WATER; ACID</t>
  </si>
  <si>
    <t>A Gram-negative, slightly halophilic, non-pigmented, strictly aerobic, chemo-organotrophic bacterium was isolated from Mediterranean sea water off the Spanish coast near Valencia. This strain was poorly reactive, being unable to grow in most carbon sources analysed in minimal medium. However, good growth was observed when more complex media and longer incubation times were used. Phylogenetic analysis based on an almost complete 16S rRNA gene sequence placed strain 2SM4(T) within the Roseobacter group, in the vicinity of uncultured bacteria described as gall symbionts of several species of the red alga Prionitis. Sequence similarity values between strain 2SM4(T) and the closest neighbouring species were below 95.0%. The cellular fatty acid composition of the Mediterranean strain confirmed its position within the 'Alphaproteobacteria', sharing 18: 1 w7c as the major cellular fatty acid. The phylogenetic distance from any taxon with a validly published name and also a number of distinguishing features support the designation of strain 2SM4T as representing a novel genus and species, for which the name Nereida ignava gen. nov., sp. nov. is proposed. The type strain is 2SM4T (= CECT 5292(T) =DSM 16309(T)=CIP 108404(T) = CCUG 49433(T)).</t>
  </si>
  <si>
    <t>Univ Valencia, Inst Cavanilles Biodivers &amp; Biol Evolut, Valencia, Spain; Univ Valencia, Dept Microbiol &amp; Ecol, E-46100 Valencia, Spain; Univ Valencia, Colecc Espanola Cult Tipo CECT, Fac Biol, E-46100 Valencia, Spain; Tech Univ Munich, Lehrstuhl Mikrobiol, D-85350 Freising Weihenstephan, Germany</t>
  </si>
  <si>
    <t>University of Valencia; University of Valencia; University of Valencia; Technical University of Munich</t>
  </si>
  <si>
    <t>Pujalte, MJ (corresponding author), Univ Valencia, Inst Cavanilles Biodivers &amp; Biol Evolut, Valencia, Spain.</t>
  </si>
  <si>
    <t>maria.j.pujalte@uv.es</t>
  </si>
  <si>
    <t>Pujalte, María J./M-1434-2014; Pujalte, María J./AAM-8798-2021; Arahal, David R./A-9344-2008</t>
  </si>
  <si>
    <t>Pujalte, María J./0000-0001-6048-9723; Arahal, David R./0000-0002-8926-9801; Macian, M.Carmen/0000-0002-4210-4196</t>
  </si>
  <si>
    <t>SOC GENERAL MICROBIOLOGY</t>
  </si>
  <si>
    <t>MARLBOROUGH HOUSE, BASINGSTOKE RD, SPENCERS WOODS, READING RG7 1AG, BERKS, ENGLAND</t>
  </si>
  <si>
    <t>10.1099/ijs.0.63442-0</t>
  </si>
  <si>
    <t>912QE</t>
  </si>
  <si>
    <t>WOS:000228093500011</t>
  </si>
  <si>
    <t>Yi, H; Oh, HM; Lee, JH; Kim, SJ; Chun, J</t>
  </si>
  <si>
    <t>Flavobacterium antarcticum sp nov., a novel psychrotolerant bacterium isolated from the Antarctic</t>
  </si>
  <si>
    <t>EMENDED DESCRIPTION; FAMILY</t>
  </si>
  <si>
    <t>A yellow-pigmented, Gram-negative and aerobic bacterial strain, designated AT1026(T), was isolated from a terrestrial sample from the Antarctic. Results of 16S rRNA gene sequence analysis indicated that the Antarctic isolate belonged to the genus Flavobacterium, with the highest sequence similarity to Flavobacterium tegetincola (96.4%). Cells were non-motile, non-gliding and psychrotolerant, with optimum and maximum temperatures of about 20 and 25 degrees C. Flexirubins were absent. The major isoprenoid quinone (MK-6), predominant cellular fatty acids (iso-C-15:1 G, iso-C-15:0 and a mixture Of C-16:1 w7c and/or iso-C-15:0 2-OH) and DNA G + C content (38 mol%) of the Antarctic isolate were consistent with those of the genus Flavobacterium. In contrast, several phenotypic characters can be used to differentiate this isolate from other flavobacteria. The polyphasic data presented in this study indicated that this isolate should be classified as a novel species in the genus Flavobacterium. The name Flavobacterium antarcticum sp. nov. is therefore proposed for the Antarctic isolate; the type strain is AT1026(T) (=IMSNU 14042(T) =KCTC 12222(T)=JCM 12383(T)).</t>
  </si>
  <si>
    <t>Seoul Natl Univ, Sch Biol Sci, Seoul 151742, South Korea; Korea Ocean Res &amp; Dev Inst, Microbiol Lab, Marine Biol Div, Seoul 425600, South Korea</t>
  </si>
  <si>
    <t>Seoul National University (SNU); Korea Institute of Ocean Science &amp; Technology (KIOST)</t>
  </si>
  <si>
    <t>Seoul Natl Univ, Sch Biol Sci, 56-1 Shillim Dong, Seoul 151742, South Korea.</t>
  </si>
  <si>
    <t>jchun@snu.ac.kr</t>
  </si>
  <si>
    <t>Chun, Jongsik/R-8458-2017</t>
  </si>
  <si>
    <t>Chun, Jongsik/0000-0003-3385-5171; Yi, Hana/0000-0002-4910-122X</t>
  </si>
  <si>
    <t>10.1099/ijs.0.63423-0</t>
  </si>
  <si>
    <t>WOS:000228093500012</t>
  </si>
  <si>
    <t>Van Trappen, S; Vandecandelaere, I; Mergaert, J; Swings, J</t>
  </si>
  <si>
    <t>Flavobacterium fryxellicola sp nov and Flavobacterium psychrolimnae sp nov., novel psychrophilic bacteria isolated from microbial mats in Antarctic lakes</t>
  </si>
  <si>
    <t>EMENDED DESCRIPTION; DNA; FAMILY</t>
  </si>
  <si>
    <t>Taxonomic studies were performed on seven strains isolated from microbial mats in Antarctic lakes of the McMurdo Dry Valleys. Phylogenetic analysis based on 16S rRNA gene sequences indicated that these strains are related to the genus Flavobacterium; sequence similarity values with their nearest phylogenetic neighbours ranged from 97-0 to 98-7%. Results of DNA-DNA hybridization and comparison of repetitive extragenic palindromic DNA-PCR fingerprinting patterns revealed that these strains are members of two distinct species. Genotypic results, together with phenotypic characteristics, allowed these species to be differentiated from related recognized Flavobacterium species. The isolates are psychrophilic, Gram-negative, chemoheterotrophic, rod-shaped cells. Their whole-cell fatty acid profiles are similar and include C-15: 0, C-15:0 anteiso, C-15: 0 iso C(15: 1)omega 6c, C-16: 0 iso, C-16: 0 iso 3-OH, C-16: 1 iso and summed feature 3 (which comprises C-15: 0 iso 2-OH and/or C(16: 1)omega 7c) as the major fatty acid components. On the basis of these results, two novel species are proposed: Flavobacterium fryxellicala sp. nov., consisting of three strains with LMG 22022(T) ( = CIP 108325(T)) as the type strain; and Flavobacterium psychrolimnae sp. nov., consisting of four strains with LMG 22018(T) ( = CIP 108326(T)) as the type strain. DNA G +C contents of F fryxellicola and F psychrolimnae are 35-2-35.9 and 33.8-34.5 mol%, respectively.</t>
  </si>
  <si>
    <t>Univ Ghent, Lab Microbiol Vakgroep Biochem Fysiol &amp; Microbiol, B-9000 Ghent, Belgium</t>
  </si>
  <si>
    <t>Univ Ghent, Lab Microbiol Vakgroep Biochem Fysiol &amp; Microbiol, KL Ledeganckstr 35, B-9000 Ghent, Belgium.</t>
  </si>
  <si>
    <t>stefanie.vantrappen@UGent.be</t>
  </si>
  <si>
    <t>Vandecandelaere, Ilse/C-1507-2009</t>
  </si>
  <si>
    <t>Van Trappen, Stefanie/0000-0002-7431-4606</t>
  </si>
  <si>
    <t>10.1099/ijs.0.03056-0</t>
  </si>
  <si>
    <t>WOS:000228093500036</t>
  </si>
  <si>
    <t>Carvalho, LMV; Jones, C; Ambrizzi, T</t>
  </si>
  <si>
    <t>Opposite phases of the antarctic oscillation and relationships with intraseasonal to interannual activity in the tropics during the austral summer</t>
  </si>
  <si>
    <t>MADDEN-JULIAN OSCILLATION; SOUTHERN-HEMISPHERE CIRCULATION; ATLANTIC CONVERGENCE ZONE; EL-NINO; EXTRATROPICAL CIRCULATION; ENSO CYCLE; VARIABILITY; ANOMALIES; FLOW; TELECONNECTIONS</t>
  </si>
  <si>
    <t>The Antarctic Oscillation (AAO) has been observed as a deep oscillation in the mid- and high southern latitudes. In the present study, the AAO pattern is defined as the leading mode of the empirical orthogonal function (EOF-1) obtained from daily 700-hPa geopotential height anomalies from 1979 to 2000. Here the objective is to identify daily positive and negative AAO phases and relationships with intraseasonal activity in the Tropics and phases of the El Nino-Southern Oscillation (ENSO) during the austral summer [December-January-February (DJF)]. Positive and negative AAO phases are defined when the daily EOF-1 time coefficient is above (or below) one standard deviation of the DJF mean. Composites of low-frequency sea surface temperature variation, 200-hPa zonal wind, and outgoing longwave radiation (OLR) indicate that negative (positive) phases of the AAO are dominant when patterns of SST, convection, and circulation anomalies resemble El Nino (La Nina) phases of ENSO. Enhanced intraseasonal activity from the Tropics to the extratropics of the Southern (Northern) Hemisphere is associated with negative (positive) phases of the AAO. In addition, there is indication that the onset of negative phases of the AAO is related to the propagation of the Madden-Julian oscillation (MJO). Suppression of intraseasonal convective activity over Indonesia is observed in positive AAO phases. It is hypothesized that deep convection in the central tropical Pacific, which is related to either El Nino or eastward-propagating MJO, or a combination of both phenomena, modulates the Southern Hemisphere circulation and favors negative AAO phases during DJF. The alternation of AAO phases seems to be linked to the latitudinal migration of the subtropical upper-level jet and variations in the intensity of the polar jet. This, in turn, affects extratropical cyclone properties, such as origin, minimum/maximum central pressure, and their equatorward propagation.</t>
  </si>
  <si>
    <t>Univ Sao Paulo, Inst Astron Geophys &amp; Atmospher Sci, Dept Atmospher Sci, BR-05508900 Sao Paulo, Brazil; Univ Calif Santa Barbara, Inst Computat Earth Syst Sci, Santa Barbara, CA 93106 USA</t>
  </si>
  <si>
    <t>Universidade de Sao Paulo; University of California System; University of California Santa Barbara</t>
  </si>
  <si>
    <t>Univ Sao Paulo, Inst Astron Geophys &amp; Atmospher Sci, Dept Atmospher Sci, Cidade Univ,R Matao,1226, BR-05508900 Sao Paulo, Brazil.</t>
  </si>
  <si>
    <t>leila@model.iag.usp.br</t>
  </si>
  <si>
    <t>Carvalho, Leila V/I-5027-2012; Ambrizzi, Tercio/A-4636-2008; Jones, Charles/GVS-9497-2022; Jones, Charles/I-4574-2012</t>
  </si>
  <si>
    <t>Carvalho, Leila V/0000-0002-8662-1953; Jones, Charles/0000-0003-4808-6977</t>
  </si>
  <si>
    <t>MAR 1</t>
  </si>
  <si>
    <t>10.1175/JCLI-3284.1</t>
  </si>
  <si>
    <t>909RQ</t>
  </si>
  <si>
    <t>WOS:000227878800007</t>
  </si>
  <si>
    <t>Sinclair, BJ; Chown, SL</t>
  </si>
  <si>
    <t>Deleterious effects of repeated cold exposure in a freeze-tolerant sub-Antarctic caterpillar</t>
  </si>
  <si>
    <t>climate change; fitness consequence; freeze-thaw cycle; Lepidoptera; Pringleophaga marioni</t>
  </si>
  <si>
    <t>PRINGLEOPHAGA-MARIONI LEPIDOPTERA; EUROSTA-SOLIDAGINIS DIPTERA; GOLDENROD GALL FLY; RESPIRATORY METABOLISM; POTENTIAL FECUNDITY; LOW-TEMPERATURES; WATER-BALANCE; LIFE-HISTORY; INSECTS; BEETLE</t>
  </si>
  <si>
    <t>Multiple freeze-thaw cycles are common in alpine, polar and temperate habitats. We investigated the effects of five consecutive cycles of approx. -5 degrees C on the freeze-tolerant larvae of Pringleophaga marioni Viette (Lepidoptera: Tineidae) on sub-Antarctic Marion Island. The likelihood of freezing was positively correlated with body mass, and decreased from 70% of caterpillars that froze on initial exposure to 55% of caterpillars that froze on subsequent exposures; however, caterpillars retained their freeze tolerance and did not appear to switch to a freeze-avoiding strategy. Apart from an increase in gut water, there was no difference in body composition of caterpillars frozen 0 to 5 times, suggesting that the observed effects were not due to freezing, but rather to exposure to cold per se. Repeated cold exposure did not result in mortality, but led to decreased mass, largely accounted for by a decreased gut mass caused by cessation of feeding by caterpillars. Treatment caterpillars had fragile guts with increased lipid content, suggesting damage to the gut epithelium. These effects persisted for 5 days after the final exposure to cold, and after 30 days, treatment caterpillars had regained their pre-exposure mass, whereas their control counterparts had significantly gained mass. We show that repeated cold exposure does occur in the field, and suggest that this may be responsible for the long life cycle in A marioni. Although mean temperatures are increasing on Marion Island, several climate change scenarios predict an increase in exposures to sub-zero temperatures, which would result in an increased generation time for P. marioni. Coupled with increased predation from introduced house mice on Marion Island, this could have severe consequences for the P. marioni population.</t>
  </si>
  <si>
    <t>Univ Stellenbosch, Spatial Physiol &amp; Conservat Ecol Grp, Dept Bot &amp; Zool, ZA-7602 Matieland, South Africa</t>
  </si>
  <si>
    <t>Univ Nevada, Dept Biol Sci, Las Vegas, NV 89154 USA.</t>
  </si>
  <si>
    <t>celatobiatta@yahoo.co.uk</t>
  </si>
  <si>
    <t>Sinclair, Brent J/C-6133-2012; Chown, Steven/ABD-7646-2021; Chown, Steven L/H-3347-2011</t>
  </si>
  <si>
    <t>Sinclair, Brent/0000-0002-8191-9910</t>
  </si>
  <si>
    <t>10.1242/jeb.01455</t>
  </si>
  <si>
    <t>910ML</t>
  </si>
  <si>
    <t>WOS:000227935500018</t>
  </si>
  <si>
    <t>Vicetti, R; Ishitani, T; Salas, A; Ayala, M</t>
  </si>
  <si>
    <t>Use of alpha-tocopherol combined with synergists and compared to other antioxidants on the oxidative stability of sardine skin lipids</t>
  </si>
  <si>
    <t>JOURNAL OF FOOD COMPOSITION AND ANALYSIS</t>
  </si>
  <si>
    <t>antioxidants; sardine; alpha-tocopherol</t>
  </si>
  <si>
    <t>PEROXIDE-DECOMPOSING ACTIVITIES; ANTARCTIC KRILL LIPIDS; PHOSPHOLIPIDS; FAT</t>
  </si>
  <si>
    <t>Antioxidant effectiveness of alpha-tocopherol (Toe) was determined in concentrations 0.01%, 0.1%, 1% and 10% combined with the synergist action of lecithin (Lee) and ascorbic acid (AA). Evaluations were carried out in a model system of lipids extracted from sardine (Sardinops melanoxticta) skin. The course of the oxidation was evaluated measuring the oxygen uptake (mmol Of O-2/kg lipids), samples were incubated in closed cylinders at 40degreesC in darkness. The most effective combination observed was 0.01% Toc+0.5% Lec+0.05% AA. This treatment prolonged during 14 days the stage of the oxidation initiation. Higher concentrations of Toe promoted oxidation. The addition of 5% Lee although more effective for antioxidative purposes, affected drastically the color of the samples. Application of 0.01% Toe without synergists could only stop the oxidation for 4 days when compared with other commercial anti-oxidants (sodium erythorbate, BHA and TBHQ). This suggests that the combination of these antioxidants with synergists could be efficient. (C) 2004 Elsevier Inc. All rights reserved.</t>
  </si>
  <si>
    <t>Inst Tecnol Pesquero Peru, Direcc Invest, Lima, Peru</t>
  </si>
  <si>
    <t>Ayala, M (corresponding author), Inst Tecnol Pesquero Peru, Direcc Invest, Carretera Ventanilla,Km 5,2, Lima, Peru.</t>
  </si>
  <si>
    <t>postmast@itp.org.pe</t>
  </si>
  <si>
    <t>Salas - Maldonado, Alberto/0000-0002-9378-7230</t>
  </si>
  <si>
    <t>0889-1575</t>
  </si>
  <si>
    <t>1096-0481</t>
  </si>
  <si>
    <t>J FOOD COMPOS ANAL</t>
  </si>
  <si>
    <t>J. Food Compos. Anal.</t>
  </si>
  <si>
    <t>MAR-MAY</t>
  </si>
  <si>
    <t>10.1016/j.jfca.2003.12.010</t>
  </si>
  <si>
    <t>Chemistry, Applied; Food Science &amp; Technology</t>
  </si>
  <si>
    <t>Chemistry; Food Science &amp; Technology</t>
  </si>
  <si>
    <t>878QL</t>
  </si>
  <si>
    <t>WOS:000225661500002</t>
  </si>
  <si>
    <t>Negusini, M; Mancini, F; Gandolfi, S; Capra, A</t>
  </si>
  <si>
    <t>Terra Nova Bay GPS permanent station (Antarctica): data quality and first attempt in the evaluation of regional displacement</t>
  </si>
  <si>
    <t>JOURNAL OF GEODYNAMICS</t>
  </si>
  <si>
    <t>Joint Assembly of the EGS/AGU/EUG</t>
  </si>
  <si>
    <t>GPS permanent trackers; Antarctica; static relative positioning; precise point positioning</t>
  </si>
  <si>
    <t>The paper discusses the long time series analysis of GPS permanent station located at Terra Nova Bay, East Antarctica (Victoria Land). The station (TNB1) was monumented during the 1997-1998 Italian expedition in Antarctica and the data collection started on January 1998. TNB1 is included in the Victoria Land network for deformation control (VLNDEF) network that was established with the aim to study the horizontal and vertical displacements in the region. The good-quality data obtained from this station allow the computation of long time series performed both by using a network approach with Bernese V4.2, and precise point positioning technique with GIPSY-OASIS II. In a first step, a subset of data was analysed to define the best processing strategy. Moreover, in the network approach, international GPS service (IGS) permanent stations (intra- and extra-plate) were used. Results obtained from the two approaches are comparable in terms of both repeatability and linear trend. Finally, velocities estimated for all Antarctic stations were compared to the values provided by ITRF2000. In most cases horizontal velocities agree with the model, while significant differences are present along the vertical components. (C) 2004 Elsevier Ltd. All rights reserved.</t>
  </si>
  <si>
    <t>INAF, Ist Radioastron, I-40129 Bologna, Italy; Univ Bologna, DISTART, I-40136 Bologna, Italy; Politecn Bari, Fac Ingn, I-74100 Taranto, Italy</t>
  </si>
  <si>
    <t>Istituto Nazionale Astrofisica (INAF); University of Bologna; Politecnico di Bari</t>
  </si>
  <si>
    <t>INAF, Ist Radioastron, Via Gobetti 101, I-40129 Bologna, Italy.</t>
  </si>
  <si>
    <t>negusini@ira.cnr.it; fmancini@racine.ra.it; stefano.gandolfi@mail.ing.unibo.it; alessandro.capra@mail.ing.unibo.it</t>
  </si>
  <si>
    <t>Negusini, Monia/N-6493-2015; Mancini, Francesco/L-2937-2015; Capra, Alessandro/L-9743-2015; Gandolfi, Stefano/A-4892-2016</t>
  </si>
  <si>
    <t>Negusini, Monia/0000-0002-0064-5533; Mancini, Francesco/0000-0002-8553-345X; Capra, Alessandro/0000-0001-6660-3291; Gandolfi, Stefano/0000-0003-2096-5670</t>
  </si>
  <si>
    <t>0264-3707</t>
  </si>
  <si>
    <t>J GEODYN</t>
  </si>
  <si>
    <t>J. Geodyn.</t>
  </si>
  <si>
    <t>10.1016/j.jog.2004.10.002</t>
  </si>
  <si>
    <t>900BF</t>
  </si>
  <si>
    <t>WOS:000227189700002</t>
  </si>
  <si>
    <t>Kaufmann, G; Wu, P; Ivins, ER</t>
  </si>
  <si>
    <t>Lateral viscosity variations beneath Antarctica and their implications on regional rebound motions and seismotectonics</t>
  </si>
  <si>
    <t>Antarctic Ice Sheet; glacial isostatic adjustment; present-day motions; faulting</t>
  </si>
  <si>
    <t>GLACIAL ISOSTATIC-ADJUSTMENT; COMPUTING 3-DIMENSIONAL DEFORMATIONS; SEA-LEVEL CHANGE; UPPER-MANTLE; LATE PLEISTOCENE; MARCH 25; SPECTRAL FORMALISM; PLATE EARTHQUAKE; LAMBERT GLACIER; MELTING HISTORY</t>
  </si>
  <si>
    <t>The Antarctic Ice Sheet has experienced large ice volume changes during the late Pleistocene glacial cycles. However, the exact amount and areas of mass change are difficult to establish, as both glaciological reconstructions and climate models rely on relatively sparse data sets, when compared to Northern Hemisphere data. We assess the potential contributions to present-day crustal motions and seismicity from glacially-induced ice mass changes. Three different scenarios for the late-Pleistocene ice-sheet distributions are considered. The viscoelastic response of the bedrock is computed for two earth models, a model with radially varying mantle viscosity only, and a model with three-dimensional viscosity variations based on a recent seismic tomographical study. In the latter model, East Antarctica is underlain by a stiff cratonic root, while the upper mantle underneath West Antarctica is weak. Our predicted present-day crustal motions depend strongly on the ice model chosen, with vertical motions focused on areas of former late Pleistocene ice domes. The horizontal motions are greatly affected by the earth theology, as the horizontal flow pattern is controlled by the flow from the stiff East Antarctic cratonic root to the weaker West Antarctic mantle. Glacially-induced changes in fault stability margin are positive over much of Antarctica, indicating a seismically quiet state due to the large present-day ice sheet. At the site of the 1998 Balleny Island Earthquake (M-W = 8.1), the stresses are relatively small by comparison, and interestingly become more prone to stress failure, when a three-dimensional earth model is assumed. (C) 2004 Elsevier Ltd. All rights reserved.</t>
  </si>
  <si>
    <t>Univ Gottingen, Inst Geophys, D-37075 Gottingen, Germany; Univ Calgary, Dept Geol &amp; Geophys, Calgary, AB T2N 1N4, Canada; CALTECH, Jet Prop Lab, Pasadena, CA 91109 USA</t>
  </si>
  <si>
    <t>University of Gottingen; University of Calgary; National Aeronautics &amp; Space Administration (NASA); NASA Jet Propulsion Laboratory (JPL); California Institute of Technology</t>
  </si>
  <si>
    <t>Univ Gottingen, Inst Geophys, Herzberger Landstr 180, D-37075 Gottingen, Germany.</t>
  </si>
  <si>
    <t>gkaufman@uni-geophys.gwdg.de</t>
  </si>
  <si>
    <t>Wu, Patrick/F-4194-2010; Kaufmann, Georg/P-9419-2019; Wu, Patrick/K-5946-2017; Ivins, Erik R/C-2416-2011</t>
  </si>
  <si>
    <t>Wu, Patrick/0000-0001-5812-4928; Kaufmann, Georg/0000-0003-4057-6875;</t>
  </si>
  <si>
    <t>10.1016/j.jog.2004.08.009</t>
  </si>
  <si>
    <t>WOS:000227189700007</t>
  </si>
  <si>
    <t>Yakovlev, AA; Sakunov, GG; Radionov, VF</t>
  </si>
  <si>
    <t>Information-statistical estimation of the variations of the aerosol light-scattering distributions from measurements in Antarctica</t>
  </si>
  <si>
    <t>JOURNAL OF OPTICAL TECHNOLOGY</t>
  </si>
  <si>
    <t>The statistics of the variations of the aerosol component of the light-scattering distributions in the near-earth layer of the atmosphere in Antarctica are analyzed. It is found that the probability distribution for the angular coefficients of the aerosol scattering of light is close to log-normal. The methods of information-statistical analysis, based on the ratio of the useful signals to the measurement errors, are used to estimate the means, the variances, and the mutual correlation coefficients for the logarithms of the angular light-scattering coefficients. The information-statistical estimates of the means and variances are close to those obtained from the distribution quantiles on the assumption that the distribution of the logarithms of the angular scattering coefficients is normal and taking into account corrections for censorship of the data. A high level of mutual correlation is noted between light-scattering coefficients for different scattering angles. It is pointed out that the aerosol light-scattering distribution is correlated with the absolute humidity of the atmosphere. © 2005 Optical Society of America.</t>
  </si>
  <si>
    <t>SI Vavilov State Opt Inst, All Russia Sci Ctr, Sci Res Inst Phys Opt Laser Opt &amp; Opt Informat Sy, St Petersburg, Russia; State Sci Ctr, Arctic &amp; Antarctic Sci Res Inst, St Petersburg, Russia</t>
  </si>
  <si>
    <t>Russian Academy of Sciences; Vavilov State Optical Institute</t>
  </si>
  <si>
    <t>Yakovlev, AA (corresponding author), SI Vavilov State Opt Inst, All Russia Sci Ctr, Sci Res Inst Phys Opt Laser Opt &amp; Opt Informat Sy, St Petersburg, Russia.</t>
  </si>
  <si>
    <t>Radionov, Vladimir F./O-3038-2017</t>
  </si>
  <si>
    <t>OPTICAL SOC AMER</t>
  </si>
  <si>
    <t>2010 MASSACHUSETTS AVE NW, WASHINGTON, DC 20036 USA</t>
  </si>
  <si>
    <t>1070-9762</t>
  </si>
  <si>
    <t>J OPT TECHNOL+</t>
  </si>
  <si>
    <t>J. Opt. Technol.</t>
  </si>
  <si>
    <t>10.1364/JOT.72.000230</t>
  </si>
  <si>
    <t>Optics</t>
  </si>
  <si>
    <t>923WT</t>
  </si>
  <si>
    <t>WOS:000228940900002</t>
  </si>
  <si>
    <t>Gómez-Gutiérrez, J; Robinson, CJ</t>
  </si>
  <si>
    <t>Embryonic, early larval development time, hatching mechanism and interbrood period of the sac-spawning euphausiid Nyctiphanes simplex Hansen</t>
  </si>
  <si>
    <t>JOURNAL OF PLANKTON RESEARCH</t>
  </si>
  <si>
    <t>BAJA-CALIFORNIA-SUR; ANTARCTIC KRILL; SUPERBA DANA; MEGANYCTIPHANES-NORVEGICA; NEMATOSCELIS-DIFFICILIS; LABORATORY CONDITIONS; COMMUNITY STRUCTURE; GROWTH PRODUCTION; NORTHERN KRILL; CENTRAL OREGON</t>
  </si>
  <si>
    <t>Females of the sac-spawning euphausiid Nyctiphanes simplex Hansen were incubated under shipboard laboratory conditions to observe the embryonic and larval development time and hatching mechanism. Females ready to spawn have a pale pink ovary that extends from the back of the stomach to the first abdominal segment, filling most of the haemocoel. This species usually behaves as a total spawner (produces one batch of oocytes per cycle of the ovary) leaving an 'empty' space in the cephalothorax where the spent ovary is located. After spawning, the young oocytes mature and turn pale pink. The eggs do not have a measurable perivitelline space (PVS) in any of the embryonic stages (6.6 x magnification). The embryos hatch as nauplius (80-91 h after spawning, 16 degrees C +/- 1 degrees C). They further develop into pseudometanauplii (PMN, 90-105 h after spawning) and metanauplii (MN, 92-140 h after spawning) inside the ovigerous sac. The nauplius breaks the thin and fragile chorion by increasing the volume of the body and by using the first and second antennae. We call this an 'expansion' hatching mechanism, the fifth distinct hatching mechanism observed so far among euphausiids. N. simplex larvae escape from the ovigerous sac late in the MN stage (5 days after spawning), just a few hours before molting into calyptopis 1 (C1) (0.5-4 h). This delayed release extends protection by the female, likely decreasing the risk of predation or early cannibalism. Additionally, this may save energy by not swimming independently increasing the time of not return if the calyptopis does not find favorable feeding conditions. Females are not ready to spawn again until at least two days after the previous batch of embryos leaves the ovigerous sac. The interbrood period (IBP) observed ranged between 7 and 15 days at 16-18 degrees C. This IBP is about one-fourth to half than was previously assumed for this species suggesting a significant underestimation of the fecundity of this species. N. simplex hatching success usually was 100%, except for a few females with all of their embryos dying during embryonic development. Other females either molted before releasing the embryos, or the oocytes were spawned unfertilized (0% hatching success), particularly during winter conditions. Efficient hatching and late free-swimming strategy may partially explain why this species is the most abundant neritic euphausiid in the southern part of the California Current System (CCS) and in the Gulf of California.</t>
  </si>
  <si>
    <t>Ctr Interdisciplinario Ciencias Marinas, Dept Plancton &amp; Ecol Marina, La Paz 23096, Baja California, Mexico; Univ Nacl Autonoma Mexico, Inst Ciencias Mar &amp; Limnol, Lab Ecol Pesquerias, Mexico City 04510, DF, Mexico</t>
  </si>
  <si>
    <t>Universidad Nacional Autonoma de Mexico</t>
  </si>
  <si>
    <t>Ctr Interdisciplinario Ciencias Marinas, Dept Plancton &amp; Ecol Marina, AP 592, La Paz 23096, Baja California, Mexico.</t>
  </si>
  <si>
    <t>jagomezg@ipn.mx</t>
  </si>
  <si>
    <t>0142-7873</t>
  </si>
  <si>
    <t>1464-3774</t>
  </si>
  <si>
    <t>J PLANKTON RES</t>
  </si>
  <si>
    <t>J. Plankton Res.</t>
  </si>
  <si>
    <t>10.1093/plankt/fbi003</t>
  </si>
  <si>
    <t>912LM</t>
  </si>
  <si>
    <t>WOS:000228079700006</t>
  </si>
  <si>
    <t>Saunders, NFW; Goodchild, A; Raftery, M; Guilhaus, M; Curmi, PMG; Cavicchioli, R</t>
  </si>
  <si>
    <t>Predicted roles for hypothetical proteins in the low-temperature expressed proteome of the Antarctic archaeon Methanococcoides burtonii</t>
  </si>
  <si>
    <t>JOURNAL OF PROTEOME RESEARCH</t>
  </si>
  <si>
    <t>proteome; LC/LC-MS/MS; archaea; methanogenesis; psychrophile; CRISPR locus; hypothetical proteins; conserved gene context</t>
  </si>
  <si>
    <t>HALOBACTERIUM SP NRC-1; RNA-BINDING DOMAIN; COMPARATIVE GENOMICS; BIOLOGY; GENES; IDENTIFICATION; TRANSLOCATION; BIOSYNTHESIS; INFORMATION; PATHWAYS</t>
  </si>
  <si>
    <t>Using liquid chromatography-mass spectrometry, 528 proteins were identified that are expressed during growth at 4 degrees C in the cold adapted archaeon, Methanococcoides burtonii. Of those, 135 were annotated previously as unique or conserved hypothetical proteins. We have performed a comprehensive, integrated analysis of the latter proteins using threading, InterProScan, predicted subcellular localization and visualization of conserved gene context across multiple prokaryotic genomes. Functional information was obtained for 55 proteins, providing new insight into the physiology of M. burtonii. Many of the proteins were predicted to be involved in DNA/RNA binding or modification and cell signaling, suggesting a complex, uncharacterized regulatory network controlling cellular processes during growth at low-temperature. Novel enzymatic functions were predicted for several proteins, including a putative candidate gene for the posttranslational modification of the key methanogenesis enzyme coenzyme M methyl reductase. A bacterial-like CRISPR locus was identified as a strong candidate for archaeal-bacterial lateral gene transfer. Gene context analysis proved a valuable augmentation to the other predictive methods in several cases, by revealing conserved gene associations and annotations in other microbial genomes. Our results underscore the importance of addressing the hypothetical protein problem for a complete understanding of cell physiology.</t>
  </si>
  <si>
    <t>Univ New S Wales, Sch Biotechnol &amp; Biomol Sci, Sydney, NSW 2052, Australia; Univ New S Wales, Bioanalyt Mass Spectrometry, Sydney, NSW 2052, Australia; Univ New S Wales, Sch Phys, Sydney, NSW 2052, Australia; St Vincents Hosp, Australia &amp; Ctr Immunol, Sydney, NSW 2010, Australia</t>
  </si>
  <si>
    <t>University of New South Wales Sydney; University of New South Wales Sydney; University of New South Wales Sydney; NSW Health; St Vincents Hospital Sydney</t>
  </si>
  <si>
    <t>Univ New S Wales, Sch Biotechnol &amp; Biomol Sci, Sydney, NSW 2052, Australia.</t>
  </si>
  <si>
    <t>r.cavicchioli@unsw.edu.au</t>
  </si>
  <si>
    <t>Saunders, Neil FW/B-5325-2010; Curmi, Paul/G-7185-2011; Cavicchioli, Ricardo/D-4341-2013</t>
  </si>
  <si>
    <t>Curmi, Paul/0000-0001-5762-7638; Cavicchioli, Ricardo/0000-0001-8989-6402; Saunders, Neil/0000-0003-2139-6107</t>
  </si>
  <si>
    <t>1535-3893</t>
  </si>
  <si>
    <t>1535-3907</t>
  </si>
  <si>
    <t>J PROTEOME RES</t>
  </si>
  <si>
    <t>J. Proteome Res.</t>
  </si>
  <si>
    <t>10.1021/pr049797+</t>
  </si>
  <si>
    <t>Biochemical Research Methods</t>
  </si>
  <si>
    <t>Biochemistry &amp; Molecular Biology</t>
  </si>
  <si>
    <t>916YE</t>
  </si>
  <si>
    <t>WOS:000228421900030</t>
  </si>
  <si>
    <t>Goodchild, A; Raftery, M; Saunders, NFW; Guilhaus, M; Cavicchioli, R</t>
  </si>
  <si>
    <t>Cold adaptation of the Antarctic archaeon, Methanococcoides burtonii assessed by proteomics using ICAT</t>
  </si>
  <si>
    <t>Archaea; methanogen; proteome; cold adaptation; psychrophile; ICAT</t>
  </si>
  <si>
    <t>CODED AFFINITY TAGS; FACTOR 2 PROTEINS; THERMOPHILIC METHANOGENS; MASS-SPECTROMETRY; MULTIDIMENSIONAL CHROMATOGRAPHY; HYPERTHERMOPHILIC ARCHAEON; GROWTH-YIELD; HEAT-SHOCK; TEMPERATURE; PSYCHROTOLERANT</t>
  </si>
  <si>
    <t>Using isotope coded affinity tag (ICAT) chromatography and liquid chromatography-mass spectrometry, 163 proteins were identified from the cold-adapted archaeon, Methanococcoides burtonii. 14 proteins were differentially expressed during growth at 4 degrees C and 23 degrees C. Knowledge of protein abundance, protein identity and gene arrangement was used to determine mechanisms of cold adaptation. Growth temperature was found to affect proteins involved in energy generation and biosynthesis linked to methanogenesis, membrane transport, transcription and protein folding, as well as affecting the expression of two hypothetical proteins. Pooling the data from this ICAT study with data from a previous two-dimensional gel electrophoresis study highlighted consistencies and differences between the two methods, and led us to conclude that the two approaches were generally complementary. This is the first report of ICAT applied to Archaea, or for the study of cold adaptation in any organism.</t>
  </si>
  <si>
    <t>Univ New S Wales, Sch Biotechnol &amp; Biomol Sci, Sydney, NSW 2052, Australia; Univ New S Wales, Bioanalyt Mass Spectrometry Facil, Sydney, NSW 2052, Australia</t>
  </si>
  <si>
    <t>University of New South Wales Sydney; University of New South Wales Sydney</t>
  </si>
  <si>
    <t>Saunders, Neil FW/B-5325-2010; Cavicchioli, Ricardo/D-4341-2013</t>
  </si>
  <si>
    <t>Saunders, Neil/0000-0003-2139-6107; Cavicchioli, Ricardo/0000-0001-8989-6402</t>
  </si>
  <si>
    <t>10.1021/pr049760p</t>
  </si>
  <si>
    <t>WOS:000228421900031</t>
  </si>
  <si>
    <t>Shepherd, T; Plumb, RA; Wofsy, SC</t>
  </si>
  <si>
    <t>Special Issue - The Antarctic Stratospheric Sudden Warming and Split Ozone Hole of 2002 - Preface</t>
  </si>
  <si>
    <t>10.1175/JAS-9999.1</t>
  </si>
  <si>
    <t>911NU</t>
  </si>
  <si>
    <t>WOS:000228012100001</t>
  </si>
  <si>
    <t>Roscoe, HK; Shanklin, JD; Colwell, SR</t>
  </si>
  <si>
    <t>Has the Antarctic vortex split before 2002?</t>
  </si>
  <si>
    <t>TOTAL OZONE</t>
  </si>
  <si>
    <t>In late September 2002, the Antarctic ozone hole was seen to split into two parts, resulting in large increases in ozone at some stations and the potential for significant modification of chlorofluorocarbon (CFC)-induced ozone loss. The phenomenon was dynamical (a split vortex), causing large increases in stratospheric temperature above stations normally within the vortex. Temperatures at Halley, Antarctica, at 30 hPa increased by over 60 K, and temperatures at South Pole at 100 hPa increased by over 25 K. It is important to know if this has happened before, since if it happens in the future, it would significantly alter the total hemispheric ozone loss due to chlorine from CFCs, particularly if it happens in August or September. Temperatures in winter and spring measured at Halley or the South Pole since 1957 and 1961, respectively, show no other comparable increases until the final warming in late spring, except for two dates in the 1980s at Halley when meteorological analyses show no vortex split. There are very few periods of measurements missing at both Halley and the South Pole, and analyses in those few periods show no vortex split. Measurements in August and September at sites normally near the edge of the vortex show very few suspicious dates, and analyses of those few suspicious dates again show no vortex split. It is concluded that the vortex has probably not split before the final warming since Antarctic records began in the late 1950s, and almost certainly not in August or September.</t>
  </si>
  <si>
    <t>Roscoe, HK (corresponding author), British Antarctic Survey, NERC, Madingley Rd, Cambridge CB3 0ET, England.</t>
  </si>
  <si>
    <t>1520-0469</t>
  </si>
  <si>
    <t>10.1175/JAS-3331.1</t>
  </si>
  <si>
    <t>WOS:000228012100003</t>
  </si>
  <si>
    <t>Krüger, K; Naujokat, B; Labitzke, K</t>
  </si>
  <si>
    <t>The unusual midwinter warming in the Southern Hemisphere stratosphere 2002:: A comparison to northern hemisphere phenomena</t>
  </si>
  <si>
    <t>HARMONIC STANDING WAVES; INTERANNUAL VARIABILITY; LATE WINTER; TEMPERATURE; CLIMATOLOGY</t>
  </si>
  <si>
    <t>A strong midwinter warming occurred in the Southern Hemisphere (SH) stratosphere in September 2002. Based on experiences from the Northern Hemisphere (NH), this event can be defined as a major warming with a breakdown of the polar vortex in midwinter, which has never been detected so far in the SH since observations began at the earliest in the 1940s. Minor midwinter warmings occasionally occurred in the SH, but a strong interannual variability, as is present in winter and spring in the NH, has been explicitly associated with the spring reversals. A detailed analysis of this winter reveals the dominant role of eastward-traveling waves and their interaction with quasi-stationary planetary waves forced in the troposphere. Such wave forcing, finally leading to the sudden breakdown of the vortex, is a familiar feature of the northern winter stratosphere. Therefore, the unusual development of this Antarctic winter is described in the context of more than 50 Arctic winters, concentrating on winters with similar wave perturbations. The relevance of preconditioning of major warmings by traveling and quasi-stationary planetary waves is discussed for both hemispheres.</t>
  </si>
  <si>
    <t>Free Univ Berlin, Inst Meteorol, D-1000 Berlin, Germany</t>
  </si>
  <si>
    <t>Free University of Berlin</t>
  </si>
  <si>
    <t>Alfred Wegener Inst Polar &amp; Marine Res, POB 60 01 49, D-14401 Potsdam, Germany.</t>
  </si>
  <si>
    <t>kkrueger@awi-potsdam.de</t>
  </si>
  <si>
    <t>10.1175/JAS-3316.1</t>
  </si>
  <si>
    <t>WOS:000228012100005</t>
  </si>
  <si>
    <t>Newman, PA; Nash, ER</t>
  </si>
  <si>
    <t>The unusual Southern Hemisphere stratosphere winter of 2002</t>
  </si>
  <si>
    <t>INTERNAL INTERANNUAL VARIABILITY; QUASI-BIENNIAL OSCILLATION; PLANETARY-WAVES; SATELLITE DATA; OZONE; TEMPERATURE; PROPAGATION; CIRCULATION; TROPOSPHERE; REANALYSIS</t>
  </si>
  <si>
    <t>The Southern Hemisphere (SH) stratospheric winter of 2002 was the most unusual winter yet observed in the SH climate record. Temperatures near the edge of the Antarctic polar vortex were considerably warmer than normal over the entire course of the winter. The polar night jet was considerably weaker than normal and was displaced more poleward than has been observed in previous winters. These record high temperatures and weak jet resulted from a series of wave events that took place over the course of the winter. The propagation of these wave events from the troposphere is diagnosed from time series of Eliassen-Palm flux vectors and autoregression time series. Strong levels of planetary waves were observed in the midlatitude lower troposphere. The combinations of strong tropospheric waves with a low index of refraction at the tropopause resulted in the large stratospheric wave forcing. The wave events tended to occur irregularly over the course of the winter, and the cumulative effect of these waves was to precondition the polar night jet for the extremely large wave event of 22 September. This large wave event resulted in the first ever observed major stratospheric warming in the SH and split the Antarctic ozone hole. The combined effect of all of the 2002 winter wave events resulted in the smallest ozone hole observed since 1988. The sequence of stratospheric wave events was also found to be strongly associated with unusually strong levels of wave I in the SH tropospheric subtropics.</t>
  </si>
  <si>
    <t>NASA, Goddard Space Flight Ctr, Greenbelt, MD 20771 USA; Sci Syst &amp; Applicat Inc, Landover, MD USA</t>
  </si>
  <si>
    <t>National Aeronautics &amp; Space Administration (NASA); NASA Goddard Space Flight Center; Science Systems and Applications Inc</t>
  </si>
  <si>
    <t>NASA, Goddard Space Flight Ctr, Code 916, Greenbelt, MD 20771 USA.</t>
  </si>
  <si>
    <t>newman@code916.gsfc.nasa.gov</t>
  </si>
  <si>
    <t>Newman, Paul A./D-6208-2012</t>
  </si>
  <si>
    <t>Newman, Paul A./0000-0003-1139-2508</t>
  </si>
  <si>
    <t>10.1175/JAS-3323.1</t>
  </si>
  <si>
    <t>WOS:000228012100006</t>
  </si>
  <si>
    <t>Scaife, AA; Jackson, DR; Swinbank, R; Butchart, N; Thornton, HE; Keil, M; Henderson, L</t>
  </si>
  <si>
    <t>Stratospheric vacillations and the major warming over Antarctica in 2002</t>
  </si>
  <si>
    <t>QUASI-BIENNIAL OSCILLATION; SOUTHERN-HEMISPHERE STRATOSPHERE; MODEL; CIRCULATION; SIMULATIONS; OZONE</t>
  </si>
  <si>
    <t>The conditions that lead to the major warming over Antarctica in late September 2002 are examined. In many respects, the warming resembled wave-2 warmings seen in the Northern Hemisphere; the winter cyclonic circulation was split into two smaller cyclones by a large amplitude planetary wave disturbance that appeared to propagate upward from the troposphere. However, in addition to this classic warming mechanism, distinctive stratospheric vacillations occurred throughout the preceding winter months. These vacillations in wave amplitude, Eliassen-Palm fluxes, and zonal-mean zonal winds are examined. By comparison with a numerical model experiment, it is shown that the vacillation is accompanied by a systematic weakening of the westerly winds over the season. This preconditions the Antarctic circulation, and it is argued that it allows anomalously strong vertical propagation of planetary waves from the troposphere into the stratosphere. By contrast, a survey of previous winters shows that stratospheric westerlies usually vary much more gradually, with vacillations only occurring for short periods of time, if at all, in a given winter. Similar vaciilations in a numerical model of the stratosphere only occur if the forcing amplitude is above a certain value. However, the level of winter-mean wave activity entering the stratosphere during 2002 is not unprecedented, and there is still some uncertainty over the cause of the onset and persistence of the vacillation and, ultimately, the major warming.</t>
  </si>
  <si>
    <t>Meteorol Off, Exeter EX1 3QS, Devon, England</t>
  </si>
  <si>
    <t>Met Office - UK</t>
  </si>
  <si>
    <t>Meteorol Off, Fitzroy Rd, Exeter EX1 3QS, Devon, England.</t>
  </si>
  <si>
    <t>adam.scaife@metoffice.com</t>
  </si>
  <si>
    <t>Jackson, David/0000-0001-6387-6876</t>
  </si>
  <si>
    <t>10.1175/JAS-3334.1</t>
  </si>
  <si>
    <t>WOS:000228012100007</t>
  </si>
  <si>
    <t>Manney, GL; Sabutis, JL; Allen, DR; Lahoz, WA; Scaife, AA; Randall, CE; Pawson, S; Naujokat, B; Swinbank, R</t>
  </si>
  <si>
    <t>Simulations of dynamics and transport during the September 2002 Antarctic major warming</t>
  </si>
  <si>
    <t>INTERANNUAL VARIABILITY; SOUTHERN-HEMISPHERE; WINTER STRATOSPHERE; PLANETARY-WAVES; OZONE HOLE; NORTHERN; MODEL; CIRCULATION; PROPAGATION; FALL</t>
  </si>
  <si>
    <t>A mechanistic model simulation initialized on 14 September 2002, forced by 100-hPa geopotential heights from Met Office analyses, reproduced the dynamical features of the 2002 Antarctic major warming. The vortex split on similar to 25 September; recovery after the warming, westward and equatorward tilting vortices, and strong baroclinic zones in temperature associated with a dipole pattern of upward and downward vertical velocities were all captured in the simulation. Model results and analyses show a pattern of strong upward wave propagation throughout the warming, with zonal wind deceleration throughout the stratosphere at high latitudes before the vortex split, continuing in the middle and upper stratosphere and spreading to lower latitudes after the split. Three-dimensional Eliassen-Palm fluxes show the largest upward and poleward wave propagation in the 0 degrees-90 degrees E sector prior to the vortex split (coincident with the location of strongest cyclogenesis at the model's lower boundary), with an additional region of strong upward propagation developing near 180 degrees-270 degrees E. These characteristics are similar to those of Arctic wave-2 major warmings, except that during this warming, the vortex did not split below similar to 600 K. The effects of poleward transport and mixing dominate modeled trace gas evolution through most of the mid- to high-latitude stratosphere, with a core region in the lower-stratospheric vortex where enhanced descent dominates and the vortex remains isolated. Strongly tilted vortices led to low-latitude air overlying vortex air, resulting in highly unusual trace gas profiles. Simulations driven with several meteorological datasets reproduced the major warming, but in others, stronger latitudinal gradients at high latitudes at the model boundary resulted in simulations without a complete vortex split in the midstratosphere. Numerous tests indicate very high sensitivity to the boundary fields, especially the wave-2 amplitude. Major warmings occurred for initial fields with stronger winds and larger vortices, but not smaller vortices, consistent with the initiation of wind deceleration by upward-propagating waves near the poleward edge of the region where wave 2 can propagate above the jet core. Thus, given the observed 100-hPa boundary forcing, stratospheric preconditioning is not needed to reproduce a major warming similar to that observed. The anomalously strong forcing in the lower stratosphere can be viewed as the primary direct cause of the major warming.</t>
  </si>
  <si>
    <t>New Mexico Highlands Univ, Dept Nat Sci, Las Vegas, NM 87701 USA; CALTECH, Jet Propuls Lab, Pasadena, CA 91125 USA; New Mexico Highlands Univ, Sch Educ, Las Vegas, NM 87701 USA; New Mexico Highlands Univ, Dept Math Sci, Las Vegas, NM 87701 USA; USN, Res Lab, Remote Sensing Div, Washington, DC 20375 USA; Univ Reading, Data Asimilat Res Ctr, Dept Meteorol, Reading, Berks, England; Meteorol Off, Exeter, Devon, England; Univ Colorado, Atmospher &amp; Space Phys Lab, Boulder, CO 80309 USA; Univ Maryland Baltimore Cty, Goddard Earth Sci &amp; Technol Ctr, Baltimore, MD 21228 USA; NASA, Goddard Space Flight Ctr, Greenbelt, MD 20771 USA; Free Univ Berlin, Inst Meteorol, D-1000 Berlin, Germany</t>
  </si>
  <si>
    <t>National Aeronautics &amp; Space Administration (NASA); NASA Jet Propulsion Laboratory (JPL); California Institute of Technology; United States Department of Defense; United States Navy; Naval Research Laboratory; University of Reading; Met Office - UK; University of Colorado System; University of Colorado Boulder; National Aeronautics &amp; Space Administration (NASA); NASA Goddard Space Flight Center; University System of Maryland; University of Maryland Baltimore County; National Aeronautics &amp; Space Administration (NASA); NASA Goddard Space Flight Center; Free University of Berlin</t>
  </si>
  <si>
    <t>New Mexico Highlands Univ, Dept Nat Sci, Las Vegas, NM 87701 USA.</t>
  </si>
  <si>
    <t>Allen, Douglas Ray/GWZ-8901-2022; Manney, Gloria/JED-7207-2023; Pawson, Steven/I-1865-2014; RANDALL, CORA/L-8760-2014</t>
  </si>
  <si>
    <t>Allen, Douglas/0000-0003-2747-9712; Pawson, Steven/0000-0003-0200-717X; RANDALL, CORA/0000-0002-4313-4397</t>
  </si>
  <si>
    <t>10.1175/JAS-3313.1</t>
  </si>
  <si>
    <t>WOS:000228012100011</t>
  </si>
  <si>
    <t>Stolarski, RS; McPeters, RD; Newman, PA</t>
  </si>
  <si>
    <t>The ozone hole of 2002 as measured by TOMS</t>
  </si>
  <si>
    <t>SPRINGTIME ANTARCTIC OZONE; SOUTH-POLE</t>
  </si>
  <si>
    <t>Since its discovery in 1985, the ozone hole has been regularly mapped using the data from Total Ozone Mapping Spectrometer (TOMS) instruments on several satellites. The current TOMS, on the Earth Probe satellite, has been taking measurements since 1996. The ozone hole first appeared during the 1980s. Since 1990, the hole has consistently developed during each Antarctic spring over a broad area with the minimum total ozone value reaching about 100 Dobson units (DU; 1 DU = 2.69 X 10(16) Molecules cm(-2)) in late September or eariv October. The year 2002 was markedly different from the past 12 years. A series of strong wave events weakened the South Polar vortex. In late September, a major stratospheric warming took place, reversing the direction of the polar flow and the latitudinal temperature gradient. This warming resulted in a division of the ozone hole into two pieces, one that migrated to lower latitudes and disappeared and one that reformed over the Pole in a weakened form. The development of this year's unusual ozone hole is shown here and is contrasted to a climatology of the years since 1990. Minimum daily values of total ozone barely reached 150 DU in contrast to values nearer to 100. The area of the ozone hole briefly reached 18 X 10(6) km(2), then dropped rapidly to only 2 X 10(6) km(2). and finally recovered to about 8 X 10(6) km(2) before disappearing in early November. The positive anomaly compared with the last 12 yr near the Pole was accompanied by a smaller negative anomaly north of 45 degrees S.</t>
  </si>
  <si>
    <t>NASA, Goddard Space Flight Ctr, Greenbelt, MD 20771 USA</t>
  </si>
  <si>
    <t>National Aeronautics &amp; Space Administration (NASA); NASA Goddard Space Flight Center</t>
  </si>
  <si>
    <t>Stolarski, RS (corresponding author), NASA, Goddard Space Flight Ctr, Code 916, Greenbelt, MD 20771 USA.</t>
  </si>
  <si>
    <t>stolar@polska.gsfc.nasa.gov</t>
  </si>
  <si>
    <t>McPeters, Richard/G-4955-2013; Stolarski, Richard S/B-8499-2013; Newman, Paul A./D-6208-2012</t>
  </si>
  <si>
    <t>10.1175/JAS-3338.1</t>
  </si>
  <si>
    <t>WOS:000228012100013</t>
  </si>
  <si>
    <t>von Savigny, C; Rozanov, A; Bovensmann, H; Eichmann, KU; Noël, S; Rozanov, VV; Sinnhuber, BM; Weber, M; Burrows, JP</t>
  </si>
  <si>
    <t>The ozone hole breakup in September 2002 as seen by SCIAMACHY on ENVISAT</t>
  </si>
  <si>
    <t>ANTARCTIC WINTER; RADIATIVE-TRANSFER; GOME OBSERVATIONS; ODIN SATELLITE; POAM-III; PROFILES; STRATOSPHERE; VORTEX; MODEL; INSTRUMENT</t>
  </si>
  <si>
    <t>An unprecedented stratospheric warming in the Southern Hemisphere in September 2002 led to the breakup of the Antarctic ozone hole into two parts. The Scanning Imaging Absorption Spectrometer for Atmospheric Chartography (SCIAMACHY) on the European Environmental Satellite (ENVISAT) performed continuous observations of limb-scattered solar radiance spectra throughout the stratospheric warming. Thereby, global measurements of vertical profiles of several important minor constituents are provided with a vertical resolution of about 3 km. In this study, stratospheric profiles of O-3, NO2, and BrO retrieved from SCIAMACHY limb-scattering observations together with polar stratospheric cloud (PSC) observations for selected days prior to (12 September), during (27 September), and after (2 October) the ozone hole split are employed to provide a picture of the temporal evolution of the Antarctic stratosphere's three-dimensional structure.</t>
  </si>
  <si>
    <t>Univ Bremen, Inst Environm Phys, D-28334 Bremen, Germany; Univ Zurich, Remote Sensing Labs, Zurich, Switzerland</t>
  </si>
  <si>
    <t>University of Bremen; University of Zurich</t>
  </si>
  <si>
    <t>Univ Bremen, Inst Environm Phys, Otto Hahn Alle 1, D-28334 Bremen, Germany.</t>
  </si>
  <si>
    <t>csavigny@iup.physik.uni-bremen.de</t>
  </si>
  <si>
    <t>von Savigny, Christian/B-3910-2014; Kaiser, Johannes W./GOP-0832-2022; Burrows, John Philip/AAF-8468-2019; Bovensmann, Heinrich/P-4135-2016; Weber, Mark/F-1409-2011; Sinnhuber, Bjorn-Martin/A-7007-2013</t>
  </si>
  <si>
    <t>Kaiser, Johannes W./0000-0003-3696-9123; Burrows, John Philip/0000-0002-6821-5580; Rozanov, Alexei/0000-0003-4525-3223; von Savigny, Christian/0000-0001-7926-3986; Bovensmann, Heinrich/0000-0001-8882-4108; Weber, Mark/0000-0001-8217-5450; Sinnhuber, Bjorn-Martin/0000-0001-9608-7320</t>
  </si>
  <si>
    <t>10.1175/JAS-3328.1</t>
  </si>
  <si>
    <t>WOS:000228012100014</t>
  </si>
  <si>
    <t>Orsolini, YJ; Randall, CE; Manney, GL; Allen, DR</t>
  </si>
  <si>
    <t>An observational study of the final breakdown of the Southern Hemisphere stratospheric vortex in 2002</t>
  </si>
  <si>
    <t>POLAR VORTEX; OZONE DISTRIBUTIONS; MIXING PROCESSES; LATE WINTER; TRANSPORT; EVOLUTION; CLIMATOLOGY; FORECASTS; VORTICES; DYNAMICS</t>
  </si>
  <si>
    <t>The 2002 Southern Hemisphere final warming occurred early, following an unusually active winter and the first recorded major warming in the Antarctic. The breakdown of the stratospheric polar vortex in October and November 2002 is examined using new satellite observations from the Michelson Interferometer for Passive Atmospheric Sounding (MIPAS) instrument aboard the European Space Agency (ESA) Environment Satellite (ENVISA7-) and meteorological analyses, both high-resolution fields from the European Centre for Medium-Rangc Weather Forecasts and the coarser Met Office analyses. The results derived from MIPAS observations are compared to measurements and inferences from well-validated solar occultation satellite instruments [Halogen Occultation Experiment (HALOE), Polar Ozone and Aerosol Measurement lit (POAM III), and Stratospheric Aerosol and Gas Experiments II and III (SAGE II and III)] and to finescale tracer fields reconstructed by transporting trace gases based oil MIPAS or climatological data using a reverse-trajectory method. These comparisons confirm the features in the MIPAS data and the interpretation of the evolution of the flow during the vortex decay revealed by those features. Mapped ozone and water vapor from MIPAS and the analyzed isentropic potential vorticity vividly display the vortex breakdown, which occurred earlier than usual. A large tongue of vortex air was pulled out westward and coiled up in an anticyclone, while the vortex core remnant shrank and drifted eastward and equatorward over the South Atlantic. By roughly mid-November, the vortex remnant at 10 mb had shrunk below scales resolved by the satellite observations, while a vortex core remained in the lower stratosphere.</t>
  </si>
  <si>
    <t>Norwegian Inst Air Res, N-2027 Kjeller, Norway; Univ Colorado, Atmospher &amp; Space Phys Lab, Boulder, CO 80309 USA; CALTECH, Jet Propuls Lab, Pasadena, CA 91125 USA; New Mexico Highlands Univ, Dept Nat Sci, Las Vegas, NV USA; USN, Res Lab, Washington, DC 20375 USA</t>
  </si>
  <si>
    <t>NILU; University of Colorado System; University of Colorado Boulder; California Institute of Technology; National Aeronautics &amp; Space Administration (NASA); NASA Jet Propulsion Laboratory (JPL); United States Department of Defense; United States Navy; Naval Research Laboratory</t>
  </si>
  <si>
    <t>Norwegian Inst Air Res, Instituttveien 18, N-2027 Kjeller, Norway.</t>
  </si>
  <si>
    <t>orsolini@nilu.no</t>
  </si>
  <si>
    <t>Manney, Gloria/JED-7207-2023; Allen, Douglas Ray/GWZ-8901-2022; RANDALL, CORA/L-8760-2014</t>
  </si>
  <si>
    <t>Allen, Douglas/0000-0003-2747-9712; RANDALL, CORA/0000-0002-4313-4397; Orsolini, Yvan/0000-0001-7454-026X</t>
  </si>
  <si>
    <t>10.1175/JAS-3315.1</t>
  </si>
  <si>
    <t>WOS:000228012100015</t>
  </si>
  <si>
    <t>Randall, CE; Manney, GL; Allen, DR; Bevilacqua, RM; Hornstein, J; Trepte, C; Lahoz, W; Ajtic, JV; Bodeker, G</t>
  </si>
  <si>
    <t>Reconstruction and simulation of stratospheric ozone distributions during the 2002 austral winter</t>
  </si>
  <si>
    <t>POLAR VORTEX; POAM-III; EFFECTIVE DIFFUSIVITY; ANTARCTIC WINTER; TRANSPORT; VALIDATION; ASSIMILATION; EVOLUTION; LATITUDE; MODEL</t>
  </si>
  <si>
    <t>Satellite-based solar occultation measurements during the 2002 austral winter have been used to reconstruct global, three-dimensional ozone distributions. The reconstruction method uses correlations between potential vorticity and ozone to derive proxy distributions from the geographically limited occultation observations. Ozone profiles from the Halogen Occultation Experiment (HALOE), the Polar Ozone and Aerosol Measurement III (POAM 111), and the Stratospheric Aerosol and Gas Experiment 11 and III (SAGE 11 and 111) are incorporated into the analysis. Because this is one of the first uses of SAGE III data in a scientific analysis, preliminary validation results are shown. The reconstruction method is described, with particular emphasis on uncertainties caused by noisy and/or multivalued correlations. The evolution of the solar occultation data and proxy ozone fields throughout the winter is described, and differences with respect to previous winters are characterized. The results support the idea that dynamical forcing early in the 2002 winter influenced the morphology of the stratosphere in a significant and unusual manner, possibly setting the stage for the unprecedented major stratospheric warming in late September. The proxy is compared with ozone from mechanistic, primitive equation model simulations of passive ozone tracer fields during the time of the warming. In regions where chemistry is negligible compared to transport, the model and proxy ozone fields agree well. The agreement between, and changes in, the large-scale ozone fields in the modal and proxy indicate that transport processes, particularly enhanced poleward transport and mixing, are the primary cause of ozone changes through most of the stratosphere during this unprecedented event. The analysis culminates with the calculation of globally distributed column ozone during the major warming, showing quantitatively how transport of low-latitude air to the polar region in the middle stratosphere led to the diminished ozone hole in 2002.</t>
  </si>
  <si>
    <t>Univ Colorado, Atmospher &amp; Space Phys Lab, Boulder, CO 80309 USA; CALTECH, Jet Prop Lab, Pasadena, CA USA; USN, Res Lab, Washington, DC USA; Langley Res Ctr, Hampton, VA USA; Data Assimilat Res Ctr, Reading, Berks, England; Natl Inst Water &amp; Atmospher Res, Central Otago, New Zealand; Univ Canterbury, Dept Phys &amp; Astron, Christchurch 1, New Zealand</t>
  </si>
  <si>
    <t>University of Colorado System; University of Colorado Boulder; California Institute of Technology; National Aeronautics &amp; Space Administration (NASA); NASA Jet Propulsion Laboratory (JPL); United States Department of Defense; United States Navy; Naval Research Laboratory; National Aeronautics &amp; Space Administration (NASA); NASA Langley Research Center; University of Reading; National Institute of Water &amp; Atmospheric Research (NIWA) - New Zealand; University of Canterbury</t>
  </si>
  <si>
    <t>Univ Colorado, Atmospher &amp; Space Phys Lab, UCB 392, Boulder, CO 80309 USA.</t>
  </si>
  <si>
    <t>cora.randall@lasp.colorado.edu</t>
  </si>
  <si>
    <t>Allen, Douglas Ray/GWZ-8901-2022; Manney, Gloria/JED-7207-2023; Ajtic, Jelena/HKO-2665-2023; Bodeker, Greg E/A-8870-2008; RANDALL, CORA/L-8760-2014</t>
  </si>
  <si>
    <t>Ajtic, Jelena/0000-0001-8200-4168; Bodeker, Gregory/0000-0003-1094-5852; Allen, Douglas/0000-0003-2747-9712; RANDALL, CORA/0000-0002-4313-4397</t>
  </si>
  <si>
    <t>10.1175/JAS-3336.1</t>
  </si>
  <si>
    <t>Green Published, Bronze, Green Submitted</t>
  </si>
  <si>
    <t>WOS:000228012100016</t>
  </si>
  <si>
    <t>Friess, U; Kreher, K; Johnston, PV; Platt, U</t>
  </si>
  <si>
    <t>Ground-based DOAS measurements of stratospheric trace gases at two Antarctic stations during the 2002 ozone hole period</t>
  </si>
  <si>
    <t>OPTICAL-ABSORPTION SPECTROSCOPY; ARRIVAL HEIGHTS; OCLO MEASUREMENTS; BRO; VORTEX; INSTRUMENT; NO2</t>
  </si>
  <si>
    <t>Compared to recent years, the development of the Antarctic ozone hole in 2002 showed very unusual dynamical features. The midwinter polar vortex was one of the smallest observed during the past decade. Driven by planetary waves, the vortex showed a strong asymmetry in early spring. A large air mass separated in late September, leaving what was previously a small vortex even smaller. Furthermore, stratospheric temperatures exceeded the polar stratospheric cloud (PSC) threshold earlier than in previous years, leading to a decrease in halogen activation by heterogeneous surface reactions. Ground-based observation of stratospheric trace gases in austral spring of 2001 and 2002 using passive Differential Optical Absorption Spectroscopy (DOAS) observations of zenith-scattered sunlight in the UV and visible wavelength region (320-650 run) are presented. Using DOAS measurements of ozone, NO2, BrO, and OClO at two different Antarctic sites, Neumayer Station (70 degrees S, 8 degrees W) and Arrival Heights (78 S, 167 degrees E), the chemical composition of the stratosphere is investigated under the unusual conditions of the 2002 ozone hole period and compared to the more typical observations of the previous year (2001).</t>
  </si>
  <si>
    <t>Heidelberg Univ, Inst Umweltphys, D-6900 Heidelberg, Germany; Natl Ins Water &amp; Atmospher Res, Lauder, New Zealand</t>
  </si>
  <si>
    <t>Ruprecht Karls University Heidelberg; National Institute of Water &amp; Atmospheric Research (NIWA) - New Zealand</t>
  </si>
  <si>
    <t>Friess, U (corresponding author), Univ Leicester, Ctr Space Res, Leicester LE1 7RH, Leics, England.</t>
  </si>
  <si>
    <t>uf5@le.ac.uk</t>
  </si>
  <si>
    <t>Frieß, Udo/B-1696-2012</t>
  </si>
  <si>
    <t>Friess, Udo/0000-0001-7176-7936</t>
  </si>
  <si>
    <t>10.1175/JAS-3319.1</t>
  </si>
  <si>
    <t>WOS:000228012100017</t>
  </si>
  <si>
    <t>Richter, A; Wittrock, F; Weber, M; Beirle, S; Kühl, S; Platt, U; Wagner, T; Wilms-Grabe, W; Burrows, JP</t>
  </si>
  <si>
    <t>GOME observations of stratospheric trace gas distributions during the splitting vortex event in the antarctic winter of 2002.: Part I:: Measurements</t>
  </si>
  <si>
    <t>POOR QUANTITATIVE INDICATOR; MONITORING EXPERIMENT GOME; OCLO MEASUREMENTS; TOTAL OZONE; CHLORINE ACTIVATION; HOLE; NO2; SPECTROSCOPY</t>
  </si>
  <si>
    <t>Measurements from the Global Ozone Monitoring Experiment (GOME) are used to study the chemical evolution of the stratosphere during the unusual 2002 winter in the Southern Hemisphere. The results show that chlorine activation as indicated by OClO columns was similar to previous years in the vortex until the major warming on 26 September 2002 after which it decreased rapidly. Similarly, NO2 columns were only slightly larger than in previous years before the warming, indicating strong denoxification and probably also denitrification. After the warming, very large NO2 columns were observed for a few days, which then decreased again as the vortex reestablished itself until the final warming. Ozone columns were much larger than in any previous year from September onward, mainly as a result of the unusual dynamical situation. Analysis of the global long-term time series of GOME measurements since 1996 provides a unique opportunity to set the austral winter 2002 into perspective. The GOME data reveal the large difference in variability of chlorine activation between the two hemispheres, whereas denoxification shows surprisingly little variation from year to year in both hemispheres. However, NO2 depletion in the Southern Hemisphere is usually sustained for about one month longer in the Antarctic stratosphere as a result of the stable vortex. Compared to the observations in the Northern Hemisphere, the austral winter 2002 was still stable and cold and had a high potential for chemical ozone destruction.</t>
  </si>
  <si>
    <t>Univ Bremen, Inst Environm Phys, D-28334 Bremen, Germany; Heidelberg Univ, Inst Environm Phys, Heidelberg, Germany</t>
  </si>
  <si>
    <t>University of Bremen; Ruprecht Karls University Heidelberg</t>
  </si>
  <si>
    <t>Univ Bremen, Inst Environm Phys, POB 33 04 40, D-28334 Bremen, Germany.</t>
  </si>
  <si>
    <t>andreas.richter@iup.phvsik.uni-bremen.de</t>
  </si>
  <si>
    <t>Burrows, John Philip/AAF-8468-2019; Richter, Andreas/C-4971-2008; Weber, Mark/F-1409-2011; Wittrock, Folkard/B-6959-2008</t>
  </si>
  <si>
    <t>Burrows, John Philip/0000-0002-6821-5580; Richter, Andreas/0000-0003-3339-212X; Weber, Mark/0000-0001-8217-5450; Beirle, Steffen/0000-0002-7196-0901; Wittrock, Folkard/0000-0002-3024-0211</t>
  </si>
  <si>
    <t>10.1175/JAS-3325.1</t>
  </si>
  <si>
    <t>WOS:000228012100018</t>
  </si>
  <si>
    <t>Glatthor, N; von Clarmann, T; Fischer, H; Funke, B; Grabowski, U; Höpfner, M; Kellmann, S; Kiefer, M; Linden, A; Milz, M; Steck, T; Stiller, GP; Tsidu, GM; Wang, DY</t>
  </si>
  <si>
    <t>Mixing processes during the Antarctic vortex split in September-October 2002 as inferred from source gas and ozone distributions from ENVISAT-MIPAS</t>
  </si>
  <si>
    <t>SOUTHERN-HEMISPHERE; MICHELSON INTERFEROMETER; STRATOSPHERIC ABUNDANCES; ATMOS MEASUREMENTS; WINTER; MICROWINDOWS; TRANSPORT; PROFILES; AIR; N2O</t>
  </si>
  <si>
    <t>In late September 2002, an Antarctic major stratospheric warming occurred, which led to a strong distortion of the southern polar vortex and to a split of its mid- and upper-stratospheric parts. Such an event had never before been observed since the beginning of regular Antarctic stratospheric temperature observations in the 1950s. The split is studied by means of nonoperational level-2 CH4, N2O, CFC-11, and O-3 data, retrieved at the Institute for Meteorology and Climate Research Karlsruhe (IMK) from high-resolution atmospheric limb emission spectra from the Michelson Interferometer for Passive Atmospheric Sounding (MIPAS) on board the European research satellite, Environmental Satellite (ENVISAT). Retrieved horizontal and vertical distributions of CH4 and N2O show good consistency with potential vorticity fields of the European Centre for Medium-Range Weather Forecasts (ECMWF) analysis for the entire period under investigation, even for fine structures such as vortex filaments. Tracer correlation analysis suggests that mixing into the vortex had already occurred before the major warming and that vortex fragments were transported into the surrounding air masses on potential temperature levels above 400 K during the split. Correlation analysis of ozone with the source gases indicates slight ongoing ozone destruction in the lower-stratospheric vortex (below similar to 500 K) after the beginning of the warming event.</t>
  </si>
  <si>
    <t>Forschungszentrum Karlsruhe, IMK, D-76021 Karlsruhe, Germany; Univ Karlsruhe, Karlsruhe, Germany; CSIC, Inst Astrofis Andalucia, Granada, Spain</t>
  </si>
  <si>
    <t>Forschungszentrum Karlsruhe, IMK, Postfach 3640, D-76021 Karlsruhe, Germany.</t>
  </si>
  <si>
    <t>norbert.glatthor@imk.fzk.de</t>
  </si>
  <si>
    <t>Kiefer, Michael/A-7254-2013; Milz, Mathias/C-9899-2011; Glatthor, Norbert/B-2141-2013; Tsidu, Gizaw Mengistu/AAG-6048-2019; Stiller, Gabriele P./A-7340-2013; von Clarmann, Thomas/A-7287-2013; Funke, Bernd/C-2162-2008; Hopfner, Michael/A-7255-2013</t>
  </si>
  <si>
    <t>Stiller, Gabriele P./0000-0003-2883-6873; Funke, Bernd/0000-0003-0462-4702; von Clarmann, Thomas/0000-0003-2219-3379; Mengistu Tsidu, Gizaw/0000-0003-3076-4696; Milz, Mathias/0000-0002-4478-2185; Hopfner, Michael/0000-0002-4174-9531</t>
  </si>
  <si>
    <t>10.1175/JAS-3332.1</t>
  </si>
  <si>
    <t>WOS:000228012100019</t>
  </si>
  <si>
    <t>Kondragunta, S; Flynn, LE; Neuendorffer, A; Miller, AJ; Long, C; Nagatani, R; Zhou, S; Beck, T; Beach, E; McPeters, R; Stolarski, R; Bhartia, PK; DeLand, MT; Huang, LK</t>
  </si>
  <si>
    <t>Vertical structure of the anomalous 2002 Antarctic ozone hole</t>
  </si>
  <si>
    <t>DATA SET; WINTER; TOMS; METEOROLOGY; MORPHOLOGY</t>
  </si>
  <si>
    <t>Ozone estimates from observations by the NOAA-16 Solar Backscattered Ultraviolet (SBUV/2) instrument and Television Infrared Observation Satellite (TIROS-N) Operational Vertical Sounder (TOVS) are used to describe the vertical structure of ozone in the anomalous 2002 polar vortex. The SBUV/2 total ozone maps show that the ozone hole was pushed off the Pole and split into two halves due to a split in the midstratospheric polar vortex in late September. The vortex split and the associated transport of high ozone from midlatitudes to the polar region reduced the ozone hole area from IS X 106 km(2) on 20 September to 3 x 10(6) km(2) on 27 September 2002. A 23-yr time series of SBUV/2 daily zonal mean total ozone amounts between 70 degrees and 80 degrees S shows record high values [385 Dobson units (DU)] during the late-September 2002 warming event. The transport and descent of high ozone from low latitudes to high latitudes between 60 and 15 mb contributed to the unusual increase in total column ozone and a small ozone hole estimated using the standard criterion (area with total ozone &lt; 220 DU). In contrast, TOVS observations show an ozone-depleted region between 0 and 24 km, indicating that ozone destruction was present in the elongated but unsplit vortex in the lower stratosphere. During the warming event, the low-ozone regions in the middle and upper stratosphere were not vertically aligned with the low-ozone regions in the upper troposphere and lower stratosphere. This offset in the vertical distribution of ozone resulted in higher total column ozone masking the ozone depletion in the lower stratosphere and resulting in a smaller ozone hole size estimate from satellite total ozone data.</t>
  </si>
  <si>
    <t>NOAA, NESDIS, Ctr Satellite Applicat &amp; Res, Camp Springs, MD 20746 USA; NOAA, NWS, Climate Predict Ctr, Camp Springs, MD 20746 USA; RS Informat Syst Inc, Mclean, VA USA; DSTI, Rockville, MD USA; SSAI, Greenbelt, MD USA; NASA, Goddard Space Flight Ctr, Greenbelt, MD 20771 USA</t>
  </si>
  <si>
    <t>National Oceanic Atmospheric Admin (NOAA) - USA; National Oceanic Atmospheric Admin (NOAA) - USA; National Aeronautics &amp; Space Administration (NASA); NASA Goddard Space Flight Center</t>
  </si>
  <si>
    <t>NOAA, NESDIS, Ctr Satellite Applicat &amp; Res, 5200 Auth Rd, Camp Springs, MD 20746 USA.</t>
  </si>
  <si>
    <t>Shoblia.Kondragunta@noaa.gov</t>
  </si>
  <si>
    <t>Beach, Eric/F-5576-2010; Stolarski, Richard S/B-8499-2013; Kondragunta, Shobha/F-5601-2010; McPeters, Richard/G-4955-2013; Bhartia, Pawan/A-4209-2016; Flynn, Lawrence/B-6321-2009</t>
  </si>
  <si>
    <t>Kondragunta, Shobha/0000-0001-8593-8046; Bhartia, Pawan/0000-0001-8307-9137; Flynn, Lawrence/0000-0001-6856-2614</t>
  </si>
  <si>
    <t>10.1175/JAS-3324.1</t>
  </si>
  <si>
    <t>WOS:000228012100020</t>
  </si>
  <si>
    <t>Eskes, H; Segers, A; van Velthoven, P</t>
  </si>
  <si>
    <t>Ozone forecasts of the stratospheric polar vortex-splitting event in September 2002</t>
  </si>
  <si>
    <t>GENERAL-CIRCULATION MODEL; ANTARCTIC WINTER; GOME; ASSIMILATION; SYSTEM; WAVES</t>
  </si>
  <si>
    <t>The Southern Hemisphere major warming event in September 2002 has led to a breakup of the vortex in the middle and higher stratosphere and to a corresponding splitting of the ozone hole. Daily 3D ozone forecasts, produced at the Royal Netherlands Meteorological Institute (KNMI) with a tracer transport and assimilation model based on the ECMWF dynamical forecasts, provided an accurate prediction of this event a week prior to the actual breakup of the vortex. The ozone forecast model contains parameterizations for gas phase and heterogeneous chemistry. Initial states for the forecast are obtained from the assimilation of near-real-time ozone data from the Global Ozone Monitoring Experiment (GOME) on European Space Agency (ESA) Remote Sensing Satellite-2 (ERS-2). In this paper, the ozone forecasts and analyses are discussed as produced before, during, and after the event. These fields are compared with ground-based Dobson, ozonesonde, and Total Ozone Mapping Spectrometer (TOMS) observations. The total ozone comparisons show that the location of the vortex edge is generally well described by the 5-7-day forecasts in September and October. The GOME assimilation compared with TOMS shows a good correspondence concerning vortex location and ozone features but also reflects clear differences in the average ozone amount between the two retrieval schemes. The assimilation system produces realistic ozone profiles, apart from a systematic underestimation of ozone around 150 hPa inside the vortex in August-October.</t>
  </si>
  <si>
    <t>Royal Netherlands Meteorol Inst, KNMI, NL-3730 AE De Bilt, Netherlands</t>
  </si>
  <si>
    <t>Royal Netherlands Meteorological Institute</t>
  </si>
  <si>
    <t>Eskes, H (corresponding author), Royal Netherlands Meteorol Inst, KNMI, Postbus 201, NL-3730 AE De Bilt, Netherlands.</t>
  </si>
  <si>
    <t>eskes@knmi.nl</t>
  </si>
  <si>
    <t>Segers, Arjo/0000-0002-1319-0195</t>
  </si>
  <si>
    <t>10.1175/JAS-3337.1</t>
  </si>
  <si>
    <t>WOS:000228012100021</t>
  </si>
  <si>
    <t>Feng, W; Chipperfield, MP; Roscoe, HK; Remedios, JJ; Waterfall, AM; Stiller, GP; Glatthor, N; Höpfner, M; Wang, DY</t>
  </si>
  <si>
    <t>Three-dimensional model study of the Antarctic ozone hole in 2002 and comparison with 2000</t>
  </si>
  <si>
    <t>CHEMICAL-TRANSPORT MODEL; POLAR VORTEX; DEPLETION; MIPAS; SIMULATIONS; WINTER; SPLIT</t>
  </si>
  <si>
    <t>An offline 3D chemical transport model (CTM) has been used to study the evolution of the Antarctic ozone hole during the sudden warming event of 2002 and to compare it with similar simulations for 2000. The CTM has a detailed stratospheric chemistry scheme and was forced by ECMWF and Met Office analyses. Both sets of meteorological analyses permit the CTM to produce a good simulation of the evolution of the 2002 vortex and its breakup, based on 03 comparisons with Total Ozone Mapping Spectrometer (TOMS) column data, sonde data, and first results from the Environmental Satellite-Michelson Interferometer for Passive Atmospheric Sounding (ENVISAT-MIPAS) instrument. The ozone chemical loss rates in the polar lower stratosphere in September 2002 were generally less than in 2000, because of the smaller average active chlorine, although around the time of the warming, the largest vortex chemical loss rates were similar to those in 2000 (i.e., -2.6 DU day(-1) between 12 and 26 km). However, the disturbed vortex of 2002 caused a somewhat larger influence of polar processing on Southern Hemisphere (SH) midlatitudes in September. Overall, the calculations show that the average SH chemical O-3 loss (poleward of 30 degrees S) by September was similar to 20 DU less in 2002 compared with 2000. A significant contribution to the much larger observed polar 03 column in September 2002 was due to the enhanced descent at the vortex edge and increased horizontal transport, associated with the distorted vortex.</t>
  </si>
  <si>
    <t>Univ Leeds, Sch Environm, Inst Atmospher Sci, Leeds LS2 9JT, W Yorkshire, England; British Antarctic Survey, Cambridge CB3 0ET, England; Univ Leicester, EOS, Dept Phys &amp; Astron, Leicester, Leics, England; Forschungszentrum Karlsruhe, IMK, D-76021 Karlsruhe, Germany; Univ Karlsruhe, Karlsruhe, Germany</t>
  </si>
  <si>
    <t>University of Leeds; UK Research &amp; Innovation (UKRI); Natural Environment Research Council (NERC); NERC British Antarctic Survey; University of Leicester; Helmholtz Association; Karlsruhe Institute of Technology; Helmholtz Association; Karlsruhe Institute of Technology</t>
  </si>
  <si>
    <t>Univ Leeds, Sch Environm, Inst Atmospher Sci, Leeds LS2 9JT, W Yorkshire, England.</t>
  </si>
  <si>
    <t>feiigwh@env.leeds.ac.uk</t>
  </si>
  <si>
    <t>Glatthor, Norbert/B-2141-2013; Stiller, Gabriele P./A-7340-2013; Chipperfield, Martyn/H-6359-2013; FENG, WUHU/B-8327-2008; Hopfner, Michael/A-7255-2013</t>
  </si>
  <si>
    <t>Stiller, Gabriele P./0000-0003-2883-6873; Chipperfield, Martyn/0000-0002-6803-4149; FENG, WUHU/0000-0002-9907-9120; Hopfner, Michael/0000-0002-4174-9531</t>
  </si>
  <si>
    <t>10.1175/JAS-3335.1</t>
  </si>
  <si>
    <t>WOS:000228012100022</t>
  </si>
  <si>
    <t>Siegmund, P; Eskes, H; van Velthoven, P</t>
  </si>
  <si>
    <t>Antarctic ozone transport and depletion in austral spring 2002</t>
  </si>
  <si>
    <t>SOUTHERN-HEMISPHERE; DISTURBANCES; MODEL</t>
  </si>
  <si>
    <t>The ozone budget in the Antarctic region during the stratospheric warming in 2002 is studied, using ozone analyses from the Royal Netherlands Meteorological Institute (KNMI) ozone-transport and assimilation model called TM3DAM. The results show a strong poleward ozone mass flux during this event south of 45 degrees S between about 20 and 40 hPa, which is about 5 times as large as the ozone flux in 2001 and 2000, and is dominated by eddy transport. Above 10 hPa, there exists a partially compensating equatorward ozone flux, which is dominated by the mean meridional circulation. During this event, not only the ozone column but also the ozone depletion rate in the Antarctic region, computed as a residual from the total ozone tendency and the ozone mass flux into this region, is large. The September-October integrated ozone depletion in 2002 is similar to that in 2000 and larger than that in 2001. Simulations for September 2002 with and without ozone assimilation and parameterized ozone chemistry indicate that the parameterized ozone chemistry alone is able to produce the evolution of the ozone layer in the Antarctic region in agreement with observations. A comparison of the ozone loss directly computed from the model's chemistry parameterization with the residual ozone loss in a simulation with parameterized chemistry but without ozone assimilation shows that the numerical error in the residual ozone loss is small.</t>
  </si>
  <si>
    <t>Siegmund, P (corresponding author), POB 201, NL-3730 AE De Bilt, Netherlands.</t>
  </si>
  <si>
    <t>siegmund@knmi.nl</t>
  </si>
  <si>
    <t>10.1175/JAS-3320.1</t>
  </si>
  <si>
    <t>WOS:000228012100023</t>
  </si>
  <si>
    <t>Konopka, P; Grooss, JU; Hoppel, KW; Steinhorst, HM; Müller, R</t>
  </si>
  <si>
    <t>Mixing and chemical ozone loss during and after the Antarctic polar vortex major warming in September 2002</t>
  </si>
  <si>
    <t>HALOGEN OCCULTATION EXPERIMENT; CHLORINE ACTIVATION; STRATOSPHERE CLAMS; LAGRANGIAN MODEL; WINTER; TRANSPORT; DEPLETION</t>
  </si>
  <si>
    <t>The 3D version of the Chemical Lagrangian Model of the Stratosphere (CLAMS) is used to study the transport of CH4 and 03 in the Antarctic stratosphere between I September and 30 November 2002, that is, over the time period when unprecedented major stratospheric warming in late September split the polar vortex into two parts. The isentropic and cross-isentropic velocities in CLAMS are derived from ECMWF winds and heating/cooling rates calculated with a radiation module. The irreversible part of transport, that is, mixing, is driven by the local horizontal strain and vertical shear rates with mixing parameters deduced from in situ observations. The CH4 distribution after the vortex split shows a completely different behavior above and below 600 K. Above this potential temperature level, until the beginning of November, a significant part of vortex air is transported into the midlatitudes up to 40 degrees S. The lifetime of the vortex remnants formed after the vortex split decreases with the altitude with values of about 3 and 6 weeks at 900 and 700 K, respectively. Despite this enormous dynamical disturbance of the vortex, the intact part between 400 and 600 K that survived the major warming was strongly isolated from the extravortex air until the end of November. According to CLAMS simulations, the air masses within this part of the vortex did not experience any significant dilution with the midlatitude air. By transporting ozone in CLAMS as a passive tracer, the chemical ozone loss was estimated from the difference between the observed [Polar Ozone and Aerosol Measurement III (POAM 111) and Halogen Occultation Experiment (HALOE)] and simulated ozone profiles. Starting from I September, up to 2.0 ppmv O-3 around 480 K and about 70 Dobson units between 450 and 550 K were destroyed until the vortex was split. After the major warming, no additional ozone loss can be derived, but in the intact vortex part between 450 and 550 K, the accumulated ozone loss was frozen in until the end of November.</t>
  </si>
  <si>
    <t>Res Ctr Julich, ICG I, Inst Stratospher Res, D-52425 Julich, Germany; USN, Res Lab, Washington, DC USA</t>
  </si>
  <si>
    <t>Helmholtz Association; Research Center Julich; United States Department of Defense; United States Navy; Naval Research Laboratory</t>
  </si>
  <si>
    <t>Res Ctr Julich, ICG I, Inst Stratospher Res, D-52425 Julich, Germany.</t>
  </si>
  <si>
    <t>p.konopka@fz-juelich.de</t>
  </si>
  <si>
    <t>Müller, Rolf/ABA-8213-2021; Grooß, Jens-Uwe/A-7315-2013; Grooß, Jens-Uwe/N-3305-2019; Konopka, Paul/A-7329-2013</t>
  </si>
  <si>
    <t>Müller, Rolf/0000-0002-5024-9977; Grooß, Jens-Uwe/0000-0002-9485-866X; Grooß, Jens-Uwe/0000-0002-9485-866X; Konopka, Paul/0000-0002-5915-830X</t>
  </si>
  <si>
    <t>10.1175/JAS-3329.1</t>
  </si>
  <si>
    <t>WOS:000228012100024</t>
  </si>
  <si>
    <t>Grooss, JU; Konopka, P; Müller, R</t>
  </si>
  <si>
    <t>Ozone chemistry during the 2002 Antarctic vortex split</t>
  </si>
  <si>
    <t>CHEMICAL LAGRANGIAN MODEL; STRATOSPHERE CLAMS; GLOBAL IMPACT; SUMMER; HOLE; PHOTOCHEMISTRY; FORMULATION; WINTER</t>
  </si>
  <si>
    <t>In September 2002, the Antarctic polar vortex was disturbed, and it split into two parts caused by an unusually early stratospheric major warming. This study discusses the chemical consequences of this event using the Chemical Lagrangian Model of the Stratosphere (CLaMS). The chemical initialization of the simulation is based on Halogen Occultation Experiment (HALOE) measurements. Because of its Lagrangian nature, CLaMS is well suited for simulating the small-scale filaments that evolve during this period. Filaments of vortex origin in the midlatitudes were observed by HALOE several times in October 2002. The results of the simulation agree well with these HALOE observations. The simulation further indicates a very rapid chlorine deactivation that is triggered by the warming associated with the split of the vortex. Correspondingly, the ozone depletion rates in the polar vortex parts rapidly decrease to zero. Outside the polar vortex, where air masses of midlatitude origin were transported to the polar region, the simulation shows high ozone depletion rates at the 700-K level caused mainly by NO, chemistry. Owing to the major warming in September 2002, ozone-poor air masses were transported into the midlatitudes and caused a decrease of midlatitude ozone by 5%-15%, depending on altitude. Besides this dilution effect, there was no significant additional chemical effect. The net chemical ozone depletion in air masses of vortex origin was low and did not differ significantly from that of midlatitude air, in spite of the different chemical composition of the two types of air masses.</t>
  </si>
  <si>
    <t>Forschungszentrum Julich, Inst Chem &amp; Dynam Geosphare Stratosphare ICG I, D-52425 Julich, Germany</t>
  </si>
  <si>
    <t>Helmholtz Association; Research Center Julich</t>
  </si>
  <si>
    <t>Forschungszentrum Julich, Inst Chem &amp; Dynam Geosphare Stratosphare ICG I, Postfach 1913, D-52425 Julich, Germany.</t>
  </si>
  <si>
    <t>j.-u.grooss@fz-juelich.de</t>
  </si>
  <si>
    <t>Grooß, Jens-Uwe/N-3305-2019; Müller, Rolf/ABA-8213-2021; Konopka, Paul/A-7329-2013; Grooß, Jens-Uwe/A-7315-2013</t>
  </si>
  <si>
    <t>Grooß, Jens-Uwe/0000-0002-9485-866X; Müller, Rolf/0000-0002-5024-9977; Konopka, Paul/0000-0002-5915-830X; Grooß, Jens-Uwe/0000-0002-9485-866X</t>
  </si>
  <si>
    <t>10.1175/JAS-3330.1</t>
  </si>
  <si>
    <t>WOS:000228012100025</t>
  </si>
  <si>
    <t>Marchand, M; Bekki, S; Pazmino, A; Lefèvre, F; Godin-Beekmann, S; Hauchecorne, A</t>
  </si>
  <si>
    <t>Model simulations of the impact of the 2002 Antarctic ozone hole on the midlatitudes</t>
  </si>
  <si>
    <t>LOWER STRATOSPHERE; POLAR VORTEX; TRANSPORT; WINTER; DEPLETION; CHEMISTRY</t>
  </si>
  <si>
    <t>The 2002 Antarctic winter was characterized by unusually strong wave activity. The frequency and intensity of the anomalies increased in August and early September with a series of minor stratospheric warmings and culminated in a major stratospheric warming in late September. A three-dimensional high resolution chemical transport model is used to estimate the effect of the exceptional 2002 Antarctic winter on chemical ozone loss in the midlatitudes and in polar regions. An ozone budget analysis is performed using a range of geographical and chemical ozone tracers. To highlight the unusual behavior of the 2002 winter, the same analysis is performed for the more typical 2001 winter. The ability of the model to reproduce the evolution of polar and midlatitude ozone during these two contrasted winters is first evaluated against ozonesonde measurements at middle and high latitudes. The evolution of the model-calculated 2002 ozone loss within the deep vortex core is found to be somewhat similar to that seen in the 2001 simulation until November, which is consistent with a lower-stratospheric vortex core remaining more or less isolated even during the major warming. However, the simulations suggest that the wave activity anomalies in 2002 enhanced mixing well before the major warming within the usually weakly mixed vortex edge region and, to a lesser extent, within the surrounding extravortex region. As a result of the increased permeability of the vortex edge, the export of chemically activated vortex air is more efficient during the winter in 2002 than in 2001. This has a very noticeable impact on the model-calculated midlatitude ozone loss, with destruction rates being about 2 times higher during August and September in 2002 compared to 2001. If the meteorological conditions of 2002 were to become more prevalent in the future, Antarctic polar ozone depletion would certainly be reduced, especially in the vortex edge region. However, it is also likely that polar chemical activation would affect midlatitude ozone earlier in the winter.</t>
  </si>
  <si>
    <t>Univ Paris 06, IPSL, Serv Aeronomie, F-75230 Paris, France; Consejo Nacl Invest Cient &amp; Tecn, CITEFA, CEILAP, RA-1033 Buenos Aires, DF, Argentina; CNRS, IPSL Serv Aeronomie, Paris, France</t>
  </si>
  <si>
    <t>Universite Paris Cite; Sorbonne Universite; Consejo Nacional de Investigaciones Cientificas y Tecnicas (CONICET); Centre National de la Recherche Scientifique (CNRS)</t>
  </si>
  <si>
    <t>Univ Paris 06, IPSL, Serv Aeronomie, B 102,4 Pl Jussieu, F-75230 Paris, France.</t>
  </si>
  <si>
    <t>marion.marchand@aero.jussieu.fr</t>
  </si>
  <si>
    <t>bekki, slimane/J-7221-2015; Hauchecorne, Alain/A-8489-2013</t>
  </si>
  <si>
    <t>bekki, slimane/0000-0002-5538-0800; Hauchecorne, Alain/0000-0001-9888-6994</t>
  </si>
  <si>
    <t>10.1175/JAS-3326.1</t>
  </si>
  <si>
    <t>Green Published, hybrid</t>
  </si>
  <si>
    <t>WOS:000228012100026</t>
  </si>
  <si>
    <t>Naujokat, B; Roscoe, HK</t>
  </si>
  <si>
    <t>Evidence against an Antarctic stratospheric vortex split during the periods of pre-IGY temperature measurements</t>
  </si>
  <si>
    <t>Historic upper-air observations from Antarctica are inspected to investigate the uniqueness of the vortex split in the Antarctic spring of 2002. No comprehensive meteorological observations are available prior to the International Geophysical Year (IGY) 1957/58, but stratospheric temperature observations from single stations provide evidence of varying strengths against the possibility of a split vortex in 1940 and in the early and middle 1950s.</t>
  </si>
  <si>
    <t>Free Univ Berlin, Inst Meteorol, D-12165 Berlin, Germany; British Antarctic Survey, NERC, Cambridge CB3 0ET, England</t>
  </si>
  <si>
    <t>Free University of Berlin; UK Research &amp; Innovation (UKRI); Natural Environment Research Council (NERC); NERC British Antarctic Survey</t>
  </si>
  <si>
    <t>Naujokat, B (corresponding author), Free Univ Berlin, Inst Meteorol, Carl Heinrich Becker Weg 6-10, D-12165 Berlin, Germany.</t>
  </si>
  <si>
    <t>naujokat@strat01.met.fu-berlin.de</t>
  </si>
  <si>
    <t>10.1175/JAS-3317.1</t>
  </si>
  <si>
    <t>WOS:000228012100027</t>
  </si>
  <si>
    <t>Naish, TR; Wehland, F; Wilson, GS; Browne, GH; Cook, RA; Morgans, HEG; Rosenberg, M; King, PR; Smale, D; Nelson, CS; Kamp, PJJ; Ricketts, B</t>
  </si>
  <si>
    <t>An integrated sequence stratigraphic, palaeoenvironmental, and chronostratigraphic analysis of the Tangahoe Formation, southern Taranaki coast, with implications for mid-Pliocene (c. 3.4-3.0 Ma) glacio-eustatic sea-level changes</t>
  </si>
  <si>
    <t>JOURNAL OF THE ROYAL SOCIETY OF NEW ZEALAND</t>
  </si>
  <si>
    <t>Tangahoe Formation; Wanganui Basin; Taranaki Basin; mid-Pliocene; sequence stratigraphy; sea level; forced regression; magnetostratigraphy; chronostratigraphy</t>
  </si>
  <si>
    <t>WANGANUI BASIN; NEW-ZEALAND; SYSTEMS TRACTS; SHELF; ARCHITECTURE; CALIBRATION; CYCLOTHEMS; TIMESCALE; EXAMPLES; SECTION</t>
  </si>
  <si>
    <t>Sediments of the mid-Pliocene (c. 3.4-3.0 Ma) Tangahoe Formation exposed in cliffs along the South Taranaki coastline of New Zealand comprise a 270 m thick, cyclothemic shallow-marine succession that has been gently warped into a north to south trending, low angle anticline. This study examines the sedimentologic, faunal, and petrographic characteristics of 10 Milankovitch-scale (6th order), shallow-marine depositional sequences exposed on the western limb of the anticline. The sequences are recognised on the basis of the cyclic vertical stacking of their constituent lithofacies, which are bound by sharp wave cut surfaces produced during transgressive shoreface erosion. Each sequence comprises three parts: (1) a 0.2-2 m thick, deepening upwards, basal suite of reworked bioclastic lag deposits (onlap shellbed) and/or an overlying matrix supported, molluscan shellbed of offshore shelf affinity (backlap shellbed); (2) a 5-20 m thick, gradually shoaling, aggradational siltstone succession; and (3) a 5-10 m thick, strongly progradational, well sorted forced regressive shoreline sandstone. The three-fold subdivision corresponds to transgressive, highstand, and regressive systems tracts (TSTs, HSTs, and RSTs) respectively, and represents deposition during a glacioeustatic sea-level cycle. Lowstand systems tract sediments are not recorded because the outcrop is situated c. 100 km east of the contemporary shelf edge and was subaerially exposed at that time. Well developed, sharp- and gradational-based forced regressive sandstones contain a variety of storm-emplaced sedimentary structures, and represent the rapid and abrupt basinward translation of the shoreline on to a storm dominated, shallow shelf during eustatic sea-level fall. Increased supply of sediment from north-west South Island during forced regression is indicated from petrographic analyses of the heavy mineralogy of the sandstones. A chronology based on biostratigraphy and the correlation of a new magnetostratigraphy to the magnetic polarity timescale allows: (1) identification of the Mammoth (C2An.2r) and Kaena (C2An.1r) subchrons; (2) correlation of the coastal section to the Waipipian Stage; and (3) estimation of the age of the coastal section as 3.36-3.06 Ma. Qualitative assessment of foraminiferal census data and molluscan palaeoecology reveals cyclic changes in water depth from shelf to shoreline environments during the deposition of each sequence. Seven major cycles in water depth of between 20 and 50 m have been correlated to individual 40 ka glacio-eustatic sea-level cycles on the marine oxygen isotope timescale. The coastal Tangahoe Formation provides a shallow-marine record of global glacio-eustasy prior to the development of significant ice sheets on Northern Hemisphere continents, and supports evidence from marine delta(18)O archives that changes in Antarctic ice volume were occurring during the Pliocene.</t>
  </si>
  <si>
    <t>Inst Geol &amp; Nucl Sci, Lower Hutt, New Zealand; Univ Tubingen, Inst Geol &amp; Palaeontol, D-72076 Tubingen, Germany; Univ Oxford, Dept Earth Sci, Oxford OX1 3PR, England; Petrog Profiles, Nelson 7001, New Zealand; Univ Waikato, Dept Earth Sci, Hamilton, New Zealand; Univ Auckland, Dept Geol, Auckland, New Zealand</t>
  </si>
  <si>
    <t>GNS Science - New Zealand; Eberhard Karls University of Tubingen; University of Oxford; University of Waikato; University of Auckland</t>
  </si>
  <si>
    <t>Univ Otago, Dept Geol, POB 56, Dunedin, New Zealand.</t>
  </si>
  <si>
    <t>Wilson, Gary S/B-3803-2010</t>
  </si>
  <si>
    <t>Wilson, Gary/0000-0003-0025-3641; Kamp, Peter/0000-0002-2563-884X; Naish, Tim/0000-0002-1185-9932</t>
  </si>
  <si>
    <t>0303-6758</t>
  </si>
  <si>
    <t>1175-8899</t>
  </si>
  <si>
    <t>J ROY SOC NEW ZEAL</t>
  </si>
  <si>
    <t>J. R. Soc. N.Z.</t>
  </si>
  <si>
    <t>MAR-JUN</t>
  </si>
  <si>
    <t>10.1080/03014223.2005.9517780</t>
  </si>
  <si>
    <t>965ZB</t>
  </si>
  <si>
    <t>WOS:000231988300006</t>
  </si>
  <si>
    <t>Pond, DW; Atkinson, A; Shreeve, RS; Tarling, G; Ward, P</t>
  </si>
  <si>
    <t>Diatom fatty acid biomarkers indicate recent growth rates in Antarctic krill</t>
  </si>
  <si>
    <t>EUPHAUSIA-SUPERBA; CARBON</t>
  </si>
  <si>
    <t>We investigated the relationship between nutritional condition (levels of specific fatty acids) and growth increment (percentage growth per intermoult period, percentage IMP-1) for Antarctic krill (Euphausia superba) collected from the vicinity of South Georgia in the austral summer 2002. There were correlations between percentage IMP-1 and the concentration (gram: gram dry weight) of the diatom biomarker fatty acids, 16: 4(n-1) and 20: 5(n-3) in tissues of individual krill, suggesting that the abundance of diatoms in the environment of the krill in the intermoult period prior to moulting was a key determinant of change in body length, a proxy for growth. This substantiates the view that diatoms are crucial for supporting high growth rates of krill, either as a direct food source or, indirectly, by enhancing production of microzooplankton and mesozooplankton based food webs.</t>
  </si>
  <si>
    <t>British Antarctic Survey, NERC, Div Biol Sci, Cambridge CB3 0ET, England</t>
  </si>
  <si>
    <t>Pond, DW (corresponding author), British Antarctic Survey, NERC, Div Biol Sci, Madingley Rd, Cambridge CB3 0ET, England.</t>
  </si>
  <si>
    <t>Atkinson, Angus/HOH-3417-2023</t>
  </si>
  <si>
    <t>AMER SOC LIMNOLOGY OCEANOGRAPHY</t>
  </si>
  <si>
    <t>WACO</t>
  </si>
  <si>
    <t>5400 BOSQUE BLVD, STE 680, WACO, TX 76710-4446 USA</t>
  </si>
  <si>
    <t>10.4319/lo.2005.50.2.0732</t>
  </si>
  <si>
    <t>909BZ</t>
  </si>
  <si>
    <t>WOS:000227835200034</t>
  </si>
  <si>
    <t>Stockley, B; Menezes, G; Pinho, MR; Rogers, AD</t>
  </si>
  <si>
    <t>Genetic population structure in the black-spot sea bream (Pagellus bogaraveo Brunnich, 1768) from the NE Atlantic</t>
  </si>
  <si>
    <t>MITOCHONDRIAL-DNA DIVERSITY; ROUGHY HOPLOSTETHUS-ATLANTICUS; COD GADUS-MORHUA; ORANGE ROUGHY; MACRURONUS-NOVAEZELANDIAE; SPARIDAE TELEOSTEI; CONTINENTAL-SLOPE; LARVAL RETENTION; WALLEYE POLLOCK; NORTH-ATLANTIC</t>
  </si>
  <si>
    <t>The depletion of shallow-water fish stocks through overexploitation has led to increasing fishing pressure on deep-sea species. Poor knowledge of the biology of commercially valuable deep-water fish has led to the serial depletion of stocks of several species across the world. Data regarding the genetic structure of deep-sea fish populations is important in determining the impact of overfishing on the overall genetic variability of species and can be used to estimate the likelihood of recolonisation of damaged populations through immigration of individuals from distant localities. Here the genetic structure of the commercially fished deep-water species the blackspot sea bream, Pagellus bogaraveo is investigated in the northeastern Atlantic using partial DNA sequencing of mitochondrial cytochrome b (cyt-b) and D-loop regions and genotyping of microsatellite loci. An absence of variation in cyt-b and low genetic variation in D-loop sequences potentially indicate that P. bogaraveo may have undergone a severe bottleneck in the past. Similar bottlenecks have been detected in other Atlantic species of fish and have possibly originated from the last glaciation. P. bogaraveo may have been particularly vulnerable to the effects of low temperature and a fall in sea level because stages of its life history occur in shallow water and coastal sites. However, there are other explanations of low genetic variability in populations of P. bogaraveo, such as a low population size and the impacts of fishing on population structure. Analysis of population structure using both D-loop and microsatellite analysis indicates low to moderate, but significant, genetic differentiation between populations at a regional level. This study supports studies on other deep-sea fish species that indicate that hydrographic or topographic barriers prevent dispersal of adults and/or larvae between populations at regional and oceanographic scales. The implications for the management and conservation of deep-sea fish populations are discussed.</t>
  </si>
  <si>
    <t>British Antarctic Survey, NERC, Cambridge CB3 0ET, England; Univ Southampton, Southampton Oceanog Ctr, Sch Ocean &amp; Earth Sci, Southampton SO14 3ZH, Hants, England; Univ Acores, Dept Oceanog &amp; Pescas, P-9900 Horta, Acores, Portugal</t>
  </si>
  <si>
    <t>UK Research &amp; Innovation (UKRI); Natural Environment Research Council (NERC); NERC British Antarctic Survey; University of Southampton; NERC National Oceanography Centre; Universidade dos Acores</t>
  </si>
  <si>
    <t>ADR2@bas.ac.uk</t>
  </si>
  <si>
    <t>Menezes, Gui M./A-3956-2009; Menezes, Gui M/HMV-5797-2023</t>
  </si>
  <si>
    <t>Menezes, Gui M/0000-0003-0781-4579; Pinho, Mario Rui/0000-0002-8045-2546; Rogers, Alex David/0000-0002-4864-2980</t>
  </si>
  <si>
    <t>10.1007/s00227-004-1479-3</t>
  </si>
  <si>
    <t>903RC</t>
  </si>
  <si>
    <t>WOS:000227442300017</t>
  </si>
  <si>
    <t>Barnes, DKA; Milner, P</t>
  </si>
  <si>
    <t>Drifting plastic and its consequences for sessile organism dispersal in the Atlantic Ocean</t>
  </si>
  <si>
    <t>MARINE ORGANISMS; EPIZOIC BRYOZOANS; SOUTHERN-OCEAN; ISLAND SHORES; BIRD ISLAND; DEBRIS; LITTER; SEA; ACCUMULATION; SURFACE</t>
  </si>
  <si>
    <t>Organisms have travelled the Atlantic Ocean as neuston and have rafted on natural marine debris for millions of years. Shipping increased opportunities for marine organism travel mere thousands of years ago but in just decades floating plastic debris is transforming marine rafting. Here we present a combined open-ocean and remote coasts marine debris survey of the Atlantic (from 68degreesS-78degreesN). Daily shipboard observations were made from the Southern Ocean to the high Arctic and the shores of 16 remote islands were surveyed. We report (1) anthropogenic debris from the most northerly and southerly latitudes to date, (2) the first record of marine biota colonising debris at latitudes &gt;68degrees, and (3) the finding of exotic species (the barnacle Elminius modestus) on northern plastic debris. Plastic pieces dominated both open-ocean and stranding marine debris. The highest densities of oceanic debris were found around northwest Europe, whereas the highest stranding levels were equatorial. Our findings of high east-Arctic debris colonisation by fauna contrast with low values from west Arctic (though only two samples) and south Atlantic shores. Colonisation rates of debris differed between hemispheres, previously considered to be similar. Our two South Atlantic mega-debris shipboard surveys (10 years apart) found no changes in open-ocean debris densities but resurvey of a UK and an Arctic island both found increases. We put our findings in the context of the Atlantic literature to interpret spatial and temporal trends in marine debris accumulation and its organismal consequences.</t>
  </si>
  <si>
    <t>Barnes, DKA (corresponding author), British Antarctic Survey, NERC, High Cross,Madingley Rd, Cambridge CB3 0ET, England.</t>
  </si>
  <si>
    <t>dkab@bas.ac.uk</t>
  </si>
  <si>
    <t>Langhamer, Olivia/J-3425-2012</t>
  </si>
  <si>
    <t>10.1007/s00227-004-1474-8</t>
  </si>
  <si>
    <t>WOS:000227442300019</t>
  </si>
  <si>
    <t>Wilson, K; Thorndyke, M; Nilsen, F; Rogers, A; Martinez, P</t>
  </si>
  <si>
    <t>Marine systems: moving into the genomics era</t>
  </si>
  <si>
    <t>MARINE ECOLOGY-AN EVOLUTIONARY PERSPECTIVE</t>
  </si>
  <si>
    <t>biodiversity; evolution; genome; marine; resources</t>
  </si>
  <si>
    <t>QUANTITATIVE TRAIT LOCI; CYTOCHROME-C-OXIDASE; GENE-EXPRESSION; NOTOTHENIA-CORIICEPS; COLD ADAPTATION; MOLECULAR-BASIS; GROWTH-FACTORS; EVOLUTIONARY; IDENTIFICATION; NUCLEAR</t>
  </si>
  <si>
    <t>The study of biological systems has been revolutionized by the use of genomic technologies. Most of the knowledge gathered over the last few years refers to terrestrial models. The study of marine systems using genomic technologies has, apart from a focus on microbial systems, been generally neglected although there are signs that this situation may be changing. This review analyses recent progress made in the field of marine genomics and identifies the broad areas in which this new technology is having the greatest impacts. These studies include comparative, functional and environmental genomics of metazoan animals. In many cases, as well as benefiting marine science, studies on marine taxa are having wide-ranging impacts on our global understanding of genomes and genomics.</t>
  </si>
  <si>
    <t>Kristineberg Marine Res Stn, S-45034 Fiskebackskil, Sweden; Inst Marine Res, N-5024 Bergen, Norway; British Antarctic Survey, Cambridge CB3 0ET, England; Univ Barcelona, Fac Biol, Dept Genet, Barcelona, Spain</t>
  </si>
  <si>
    <t>Institute of Marine Research - Norway; UK Research &amp; Innovation (UKRI); Natural Environment Research Council (NERC); NERC British Antarctic Survey; University of Barcelona</t>
  </si>
  <si>
    <t>Kristineberg Marine Res Stn, S-45034 Fiskebackskil, Sweden.</t>
  </si>
  <si>
    <t>karen.wilson@kmf.pu.se; pedro.martinez@ub.edu</t>
  </si>
  <si>
    <t>Martinez, Pedro/O-5025-2014</t>
  </si>
  <si>
    <t>Martinez, Pedro/0000-0003-3956-7541; Rogers, Alex David/0000-0002-4864-2980</t>
  </si>
  <si>
    <t>0173-9565</t>
  </si>
  <si>
    <t>1439-0485</t>
  </si>
  <si>
    <t>MAR ECOL-EVOL PERSP</t>
  </si>
  <si>
    <t>Mar. Ecol.-Evol. Persp.</t>
  </si>
  <si>
    <t>10.1111/j.1439-0485.2005.00041.x</t>
  </si>
  <si>
    <t>965RO</t>
  </si>
  <si>
    <t>WOS:000231968200002</t>
  </si>
  <si>
    <t>Geletti, R; Lodolo, E; Schreider, AA; Polonia, A</t>
  </si>
  <si>
    <t>Seismic structure and tectonics of the Shackleton Fracture Zone (Drake Passage, Scotia Sea)</t>
  </si>
  <si>
    <t>MARINE GEOPHYSICAL RESEARCH</t>
  </si>
  <si>
    <t>Shackleton Fracture Zone; western Scotia Sea; seismic and magnetic data; tectonic evolution</t>
  </si>
  <si>
    <t>SOUTHERNMOST SOUTH-AMERICA; RELATIVE PLATE MOTIONS; ANTARCTIC PENINSULA; OCEANIC-CRUST; RIDGE; TRANSFORM; BOUNDARY; ATLANTIC; INTERSECTION; MIGRATION</t>
  </si>
  <si>
    <t>The structural framework of the southern part of the Shackleton Fracture Zone has been investigated through the analysis of a 130-km-long multichannel seismic reflection profile acquired orthogonally to the fracture zone near 60S. The Shackleton Fracture Zone is a 800-km-long, mostly rectilinear and pronounced bathymetric lineation joining the westernmost South Scotia Ridge to southern South America south of Cape Horn, separating the western Scotia Sea plate from the Antarctic plate. Conventional processing applied to the seismic data outlines the main structures of the Shackleton Fracture Zone, but only the use of enhanced techniques, such as accurate velocity analyses and pre-stack depth migration, provides a good definition of the acoustic basement and the architecture of the sedimentary sequences. In particular, a strong and mostly continuous reflector found at about 8.0 s two-way traveltime is very clear across the entire section and is interpreted as the Moho discontinuity. Data show a complex system of troughs developed along the eastern flank of the crustal ridge, containing tilted and rotated blocks, and the presence of a prominent listric normal fault developed within the oceanic crust. Positive flower structures developed within the oceanic basement indicate strike-slip tectonism and partial reactivation of pre-existing faults. Present-day tectonic activity is found mostly in correspondence to the relief, whereas fault-induced deformation is negligible across the entire trough system. This indicates that the E-W-directed stress regime present in the Drake Passage region is mainly dissipated along a narrow zone within the Shackleton Ridge axis. A reappraisal of all available magnetic anomaly identifications in the western Scotia Sea and in the former Phoenix plate, in conjunction with new magnetic profiles acquired to the east of the Shackleton Fracture Zone off the Tierra del Fuego continental margin, has allowed us to propose a simple reconstruction of Shackleton Fracture Zone development in the general context of the Drake Passage opening.</t>
  </si>
  <si>
    <t>Ist Naz Oceanog &amp; Geofis Sperimentale OGS, Trieste, Italy; Russian Acad Sci, PP Shirshov Oceanol Inst, Moscow, Russia; CNR, Ist Sci Marine, Bologna, Italy</t>
  </si>
  <si>
    <t>Istituto Nazionale di Oceanografia e di Geofisica Sperimentale; Russian Academy of Sciences; Shirshov Institute of Oceanology; Consiglio Nazionale delle Ricerche (CNR); Istituto di Scienze Marine (ISMAR-CNR)</t>
  </si>
  <si>
    <t>Ist Naz Oceanog &amp; Geofis Sperimentale OGS, Trieste, Italy.</t>
  </si>
  <si>
    <t>elodolo@ogs.trieste.it</t>
  </si>
  <si>
    <t>Sazhneva, Alexandra/HPG-9897-2023; CNR, Ismar/P-1247-2014; Polonia, Alina/F-4801-2018</t>
  </si>
  <si>
    <t>CNR, Ismar/0000-0001-5351-1486; Geletti, Riccardo/0000-0002-6574-011X; Polonia, Alina/0000-0002-1700-453X; LODOLO, Emanuele/0000-0002-4706-2095</t>
  </si>
  <si>
    <t>0025-3235</t>
  </si>
  <si>
    <t>1573-0581</t>
  </si>
  <si>
    <t>MAR GEOPHYS RES</t>
  </si>
  <si>
    <t>Mar. Geophys. Res.</t>
  </si>
  <si>
    <t>10.1007/s11001-005-0147-4</t>
  </si>
  <si>
    <t>Geochemistry &amp; Geophysics; Oceanography</t>
  </si>
  <si>
    <t>987MD</t>
  </si>
  <si>
    <t>WOS:000233521100002</t>
  </si>
  <si>
    <t>Funakawa, S; Nishi, H</t>
  </si>
  <si>
    <t>Late middle Eocene to late Oligocene radiolarian biostratigraphy in the Southern Ocean (Maud rise, ODP leg 113, site 689)</t>
  </si>
  <si>
    <t>MARINE MICROPALEONTOLOGY</t>
  </si>
  <si>
    <t>radiolaria; biostratigraphy; Eocene to Oligocene; Southern Ocean</t>
  </si>
  <si>
    <t>INDIAN-OCEAN; KERGUELEN PLATEAU; ANTARCTIC OCEAN; CLIMATE-CHANGE; CODE NUMBERS; PALEOCEANOGRAPHY; ATLANTIC; EVOLUTION; ORIGIN; OXYGEN</t>
  </si>
  <si>
    <t>We propose a new biostratigraphic scheme comprising the Eucyrtidium spinosum, Eucyrtidium antiquum (new), Lychnocanoma conica (emended), Clinorhabdus robusta (emended) and Stylosphaera radiosa (emended) Zones, in ascending order, in Eocene to Oligocene sediments drilled on Maud Rise in Southern Atlantic Ocean (Site 689, Ocean Drilling Program Leg 113). The bases of these zones are defined by the lowermost occurrences of E. spinosum, E. antiquum, L. conica, C robusta and the uppermost occurrence of Axoprunum irregularis (?), respectively. From correlation to the magnetostratigraphic data, the E. spinosum, E. antiquum, L. conica, C robusta and S. radiosa Zones are assigned to the late middle Eocene through late Eocene (Subchrons C17n2 to C13r), earliest Oligocene (C13n to C11n), late early Oligocene (C11n to C10n2), early late Oligocene (C10n1 to C8r) and latest Oligocene (C8r to C7An), respectively. The four boundary datum levels and supplementary datum levels such as the lowermost occurrences of A. irregularis (?), Dicolocapsa microcephala and Lithomelissa challengerae may be recognized in other ODP sites in the Southern Ocean. The first occurrence of E. antiquum approximates the Eocene-Oligocene boundary in Southern Ocean but the last occurrences of many species such as Periphaena decora, D. microcephala and the Lithomelissa sphaerocephalis group are commonly diachronous between high latitude sites. Two new species, Theocyrtis (?) triapenna and Spirocyrtis parvaturris, are described. (C) 2005 Elsevier B.V. All rights reserved.</t>
  </si>
  <si>
    <t>Utsunomiya Univ, Fac Agr, Dept Geol, Utsunomiya, Tochigi 3218505, Japan; Hokkaido Univ, Grad Sch Sci, Dept Earth &amp; Planetary Sci, Sapporo, Hokkaido 0600810, Japan</t>
  </si>
  <si>
    <t>Utsunomiya University; Hokkaido University</t>
  </si>
  <si>
    <t>Funakawa, S (corresponding author), Utsunomiya Univ, Fac Agr, Dept Geol, Utsunomiya, Tochigi 3218505, Japan.</t>
  </si>
  <si>
    <t>funakawa@msg.biglobe.ne.jp; hnishi@ep.sci.hokudai.ac.jp</t>
  </si>
  <si>
    <t>0377-8398</t>
  </si>
  <si>
    <t>MAR MICROPALEONTOL</t>
  </si>
  <si>
    <t>Mar. Micropaleontol.</t>
  </si>
  <si>
    <t>10.1016/j.marmicro.2004.12.002</t>
  </si>
  <si>
    <t>904WY</t>
  </si>
  <si>
    <t>WOS:000227530500005</t>
  </si>
  <si>
    <t>Cunningham, L; Snape, I; Stark, JS; Riddle, MJ</t>
  </si>
  <si>
    <t>Benthic diatom community response to environmental variables and metal concentrations in a contaminated bay adjacent to Casey Station, Antarctica</t>
  </si>
  <si>
    <t>MARINE POLLUTION BULLETIN</t>
  </si>
  <si>
    <t>benthic diatoms; community composition; petroleum hydrocarbons; metal contamination; Casey Station; Antarctica</t>
  </si>
  <si>
    <t>CRUDE-OIL; MARINE-ENVIRONMENT; HYDROCARBON CONTAMINATION; COASTAL DIATOM; CHLOROPHYLL-A; TOXICITY; GROWTH; PHYTOPLANKTON; ASSEMBLAGES; CADMIUM</t>
  </si>
  <si>
    <t>This study examined the effects of anthropogenic contaminants and environmental variables on the composition of benthic diatom communities within a contaminated bay adjacent to an abandoned waste disposal site in Antarctica. The combination of geographical, environmental and chemical data included in the study explained all of the variation observed within the diatom communities. The chemical data, particularly metal concentrations, explained 45.9% of variation in the diatom communities, once the effects of grain-size and spatial structure had been excluded. Of the metals, tin explained the greatest proportion of variation in the diatom communities (28%). Tin was very highly correlated (R-2 &gt; 0.95) with several other variables (copper, iron, lead, and sum of metals), all of which explained similarly high proportions of total variation. Grain-size data explained 23% of variation once the effects of spatial structure and the chemical data had been excluded. The pure spatial component explained only 1.8% of the total variance. The study demonstrates that much of the compositional variability observed in the bay can be explained by concentrations of metal contaminants. Crown Copyright (C) 2004 Published by Elsevier Ltd. All rights reserved.</t>
  </si>
  <si>
    <t>Australian Antarctic Div, Human Impacts Res Program, Kingston, Tas 7050, Australia</t>
  </si>
  <si>
    <t>Riddle, MJ (corresponding author), Australian Antarctic Div, Human Impacts Res Program, Channel Highway, Kingston, Tas 7050, Australia.</t>
  </si>
  <si>
    <t>Stark, Jonathan/0000-0002-4268-8072; Cunningham, Laura Kay/0000-0001-6591-4610</t>
  </si>
  <si>
    <t>0025-326X</t>
  </si>
  <si>
    <t>1879-3363</t>
  </si>
  <si>
    <t>MAR POLLUT BULL</t>
  </si>
  <si>
    <t>Mar. Pollut. Bull.</t>
  </si>
  <si>
    <t>10.1016/j.marpolbul.2004.10.012</t>
  </si>
  <si>
    <t>910FD</t>
  </si>
  <si>
    <t>WOS:000227915000014</t>
  </si>
  <si>
    <t>Stark, JS; Snape, I; Riddle, MJ; Stark, SC</t>
  </si>
  <si>
    <t>Constraints on spatial variability in soft-sediment communities affected by contamination from an Antarctic waste disposal site</t>
  </si>
  <si>
    <t>heavy metals; hydrocarbons; benthos; sediment pollution; environmental impact; Antarctica; spatial variation</t>
  </si>
  <si>
    <t>CASEY STATION; ENVIRONMENTAL VARIABLES; ASSEMBLAGES; RECRUITMENT; REMEDIATION; ESTUARINE</t>
  </si>
  <si>
    <t>A small-scale (&lt; 500m length) transect-based survey was conducted in December 1998 to examine the spatial distribution of soft-sediment communities and of concentrations of heavy metals and hydrocarbons in sediments in Brown Bay, adjacent to an abandoned waste dump, at Casey Station, Antarctica. Samples were taken along three transects at increasing distances (nine stations) from the shore-line waste dump. A gradient of contamination was detected, but concentrations of contaminants were very variable with hotspots or high levels of contaminants at some stations. Multivariate analysis revealed that the distribution of soft-sediment communities was distinctly different between the inner, middle and outer stations. Abundances of most taxa were very variable with few patterns apparent, but some fauna displayed an abundance gradient from the inner to the outer part of the bay. Many taxa had maximum abundances at outer stations and minimum at inner stations. Multivariate correlations between environmental variables and soft-sediment communities indicated that combinations of some metals (Cd, Cu, Sn, Pb) and grain size (mainly finer fractions, fine sands and coarse silts) were the variables that best matched the community patterns within Brown Bay. This study indicated that there were significant correlations between the presence of contaminants and the distribution and composition of soft-sediment communities over very small spatial scales. Crown Copyright (C) 2004 Published by Elsevier Ltd. All rights reserved.</t>
  </si>
  <si>
    <t>Australian Antarctic Div, Kingston, Tas 7050, Australia</t>
  </si>
  <si>
    <t>ian.snape@aad.gov.au</t>
  </si>
  <si>
    <t>Stark, Jonathan/0000-0002-4268-8072</t>
  </si>
  <si>
    <t>10.1016/j.marpolbul.2004.10.015</t>
  </si>
  <si>
    <t>WOS:000227915000015</t>
  </si>
  <si>
    <t>Pardo, GB; Casas, L; González Fortes, G; Bouza, C; Martínez, P; Clark, MS; Sánchez, L</t>
  </si>
  <si>
    <t>New microsatellite markers in turbot (Scophthalmus maximus) derived from an enriched genomic library and sequence databases</t>
  </si>
  <si>
    <t>MOLECULAR ECOLOGY NOTES</t>
  </si>
  <si>
    <t>genetic markers; microsatellites; pleuronectiforms; polymorphism; Scophthalmus maximus</t>
  </si>
  <si>
    <t>ALLOZYME</t>
  </si>
  <si>
    <t>Scophthalmus maximus is an important commercially aquaculture fish species. We tackle the search for new microsatellites using two different approaches: an enriched partial genomic library and a screening of all turbot DNA sequences deposited in GenBank. Out of 15 genomic library derived loci, five gave working primer pairs, with expected heterozygosities (H.) ranging from 0.13 to 0.91. Out of seven loci derived from database sequences, two amplified successfully with an HE ranging from 0.56 to 0.63. The average allele number of these microsatellites was 5.7 per locus with a range between two and 15.</t>
  </si>
  <si>
    <t>Univ Santiago de Compostela, Fac Vet, Dept Genet, Campus Lugo, Lugo 27002, Spain; British Antarctic Survey, Div Biol Sci, Cambridge CB3 0ET, England</t>
  </si>
  <si>
    <t>Universidade de Santiago de Compostela; UK Research &amp; Innovation (UKRI); Natural Environment Research Council (NERC); NERC British Antarctic Survey</t>
  </si>
  <si>
    <t>Univ Santiago de Compostela, Fac Vet, Dept Genet, Campus Lugo, Lugo 27002, Spain.</t>
  </si>
  <si>
    <t>lasanche@lugo.usc.es</t>
  </si>
  <si>
    <t>Martínez, Paulino/K-8636-2014; Sánchez, Laura/L-2411-2014; Bouza, Carmen/K-9322-2014; Gonzalez Fortes, Gloria/L-9213-2014; Gomez Pardo/K-9652-2014; Casas, Laura/G-9347-2015; Clark, Melody/D-7371-2014</t>
  </si>
  <si>
    <t>Martínez, Paulino/0000-0001-8438-9305; Sánchez, Laura/0000-0001-7927-5303; Bouza, Carmen/0000-0002-9501-4506; Gonzalez Fortes, Gloria/0000-0002-3700-7674; Gomez Pardo/0000-0003-3548-6306; Casas, Laura/0000-0001-6617-8731; Clark, Melody/0000-0002-3442-3824</t>
  </si>
  <si>
    <t>1471-8278</t>
  </si>
  <si>
    <t>MOL ECOL NOTES</t>
  </si>
  <si>
    <t>Mol. Ecol. Notes</t>
  </si>
  <si>
    <t>10.1111/j.1471-8286.2004.00834.x</t>
  </si>
  <si>
    <t>905VJ</t>
  </si>
  <si>
    <t>WOS:000227598500021</t>
  </si>
  <si>
    <t>Bromwich, DH; Monaghan, AJ; Manning, KW; Powers, JG</t>
  </si>
  <si>
    <t>Real-time forecasting for the Antarctic: An evaluation of the Antarctic Mesoscale Prediction System (AMPS)</t>
  </si>
  <si>
    <t>POLAR MM5 SIMULATIONS; KATABATIC WINDS; ADELIE LAND; ATMOSPHERIC CIRCULATION; ROSS ISLAND; MODEL; WEATHER; FLOW; PERFORMANCE; GREENLAND</t>
  </si>
  <si>
    <t>In response to the need for improved weather prediction capabilities in support of the U.S. Antarctic Program's field operations, the Antarctic Mesoscale Prediction System (AMPS) was implemented in October 2000. AMPS employs the Polar MM5, a version of the fifth-generation Pennsylvania State University-NCAR Mesoscale Model optimized for use over ice sheets. The modeling system consists of several domains ranging in horizontal resolution from 90 km covering a large part of the Southern Hemisphere to 3.3 km over the complex terrain surrounding McMurdo, the hub of U.S. operations. The performance of the 30-km AMPS domain versus observations from manned and automatic weather stations is statistically evaluated for a 2-yr period from September 2001 through August 2003. The simulated 12-36-h surface pressure and near-surface temperature at most sites have correlations of r &gt; 0.95 and r &gt; 0.75, respectively, and small biases. Surface wind speeds reflect the complex topography and generally have correlations between 0.5 and 0.6, and positive biases of 1-2 m s(-1). In the free atmosphere, r &gt; 0.95 (geopotential height), r &gt; 0.9 (temperature), and r &gt; 0.8 (wind speed) at most sites. Over the annual cycle, there is little interseasonal variation in skill. Over the length of the forecast, a gradual decrease in skill is observed from hours 0-72. One exception is the surface pressure, which improves slightly in the first few hours, due in part to the model adjusting from surface pressure biases that are caused by the initialization technique over the high, cold terrain. The impact of the higher-resolution model domains over the McMurdo region is also evaluated. It is shown that the 3.3-km domain is more sensitive to spatial and temporal changes in the winds than the 10-km domain, which represents an overall improvement in forecast skill, especially on the windward side of the island where the Williams Field and Pegasus runways are situated, and in the lee of Ross Island, an important area of mesoscale cyclogenesis (although the correlation coefficients in these regions are still relatively low).</t>
  </si>
  <si>
    <t>Ohio State Univ, Byrd Polar Res Ctr, Polar Meteorol Grp, Columbus, OH 43210 USA; Ohio State Univ, Dept Geog, Atmospher Sci Program, Columbus, OH 43210 USA; Natl Ctr Atmospher Res, Mesoscale &amp; Microscale Meteorol Div, Boulder, CO 80307 USA</t>
  </si>
  <si>
    <t>Ohio State Univ, Byrd Polar Res Ctr, Polar Meteorol Grp, 1090 Carmack Rd, Columbus, OH 43210 USA.</t>
  </si>
  <si>
    <t>monaghan@polarmet1.mps.ohio-state.edu</t>
  </si>
  <si>
    <t>10.1175/MWR-2881.1</t>
  </si>
  <si>
    <t>910SW</t>
  </si>
  <si>
    <t>WOS:000227953500006</t>
  </si>
  <si>
    <t>Wright, IC; Graham, IJ; Chang, SW; Choi, H; Lee, SR</t>
  </si>
  <si>
    <t>Occurrence and physical setting of ferromanganese nodules beneath the deep Western Boundary Current, Southwest Pacific Ocean</t>
  </si>
  <si>
    <t>NEW ZEALAND JOURNAL OF GEOLOGY AND GEOPHYSICS</t>
  </si>
  <si>
    <t>ferromanganese nodules; Deep Western Boundary Current; Campbell Plateau</t>
  </si>
  <si>
    <t>ANTARCTIC CIRCUMPOLAR CURRENT; MANGANESE NODULES; NEW-ZEALAND; EVOLUTION; CIRCULATION; GROWTH; BASIN; SEDIMENTATION; ATLANTIC; INFLOW</t>
  </si>
  <si>
    <t>An extensive ferromanganese nodule field adjacent to the Campbell Plateau in the Southwest Pacific Ocean forms beneath the Deep Western Boundary Current (DWBC) and Antarctic Circumpolar Current (ACC). West of c. 174° E, between 59 and 48° S, the field is inferred to be 300-500 km wide, but east of 174° E, where the currents impinge on the eastern slope of the Campbell Plateau, the field narrows from c. 200 km at 55° S to c. 120 km at 49° S. This coincides with deflection of current flow eastward, and consequent reduction in bottom-current velocity and eddy kinetic energy. Based on seafloor photographs, dredge samples, and 3.5 kHz profile data, five principal nodule facies form broadly parallel zones eastwards from the lowermost Campbell escarpment. These are defined based on location, presumed nodule genesis, and seafloor nodule density: (1) slope hydrogenous, high-density (SHH); (2) abyssal diagenetic/hydrogenous, low-density (ADHL); (3) abyssal hydrogenous, high-density (AHH); (4) abyssal diagenetic, high-density (ADH); and (5) abyssal diagenetic, low-density (ADL). Several nodule morphotypes are identified including distinctive discoidal forms with overgrowths possibly resulting from overcrowding and partial sediment burial. Seafloor abundance, surficial textures, and chemistry indicate a predominantly hydrogenous nodule growth and very low net sedimentation beneath the core of the DWBC. Increasing Mn, Ni, and Cu contents, and decreasing detrital silicate contents from core to rim, reflect intensifying abyssal DWBC circulation since c. 6 Ma. Because of the DWBC's high velocity, the nodules provide no record of an increasing terrigenous bedload from New Zealand since c. 3 Ma. However, in regions of reduced flow velocity eastwards from the main DWBC pathway, relatively higher sedimentation rates prevail, and nodules have a higher diagenetic component.</t>
  </si>
  <si>
    <t>Natl Inst Water &amp; Atmospher Res, Wellington, New Zealand; Inst Geol &amp; Nucl Sci, Lower Hutt, New Zealand; Korea Inst Geosci &amp; Mineral Resources, Taejon 305350, South Korea</t>
  </si>
  <si>
    <t>National Institute of Water &amp; Atmospheric Research (NIWA) - New Zealand; GNS Science - New Zealand; Korea Institute of Geoscience &amp; Mineral Resources (KIGAM)</t>
  </si>
  <si>
    <t>Wright, IC (corresponding author), Natl Inst Water &amp; Atmospher Res, POB 14 901, Wellington, New Zealand.</t>
  </si>
  <si>
    <t>Wright, Ian C/B-9643-2008; Wright, Ian/AAX-4848-2020</t>
  </si>
  <si>
    <t>Wright, Ian/0000-0002-6660-0493</t>
  </si>
  <si>
    <t>SIR PUBLISHING</t>
  </si>
  <si>
    <t>WELLINGTON</t>
  </si>
  <si>
    <t>PO BOX 399, WELLINGTON, NEW ZEALAND</t>
  </si>
  <si>
    <t>0028-8306</t>
  </si>
  <si>
    <t>NEW ZEAL J GEOL GEOP</t>
  </si>
  <si>
    <t>N. Z. J. Geol. Geophys.</t>
  </si>
  <si>
    <t>10.1080/00288306.2005.9515096</t>
  </si>
  <si>
    <t>Geology; Geosciences, Multidisciplinary</t>
  </si>
  <si>
    <t>932NM</t>
  </si>
  <si>
    <t>WOS:000229560400003</t>
  </si>
  <si>
    <t>Hollis, CJ; Neil, HL</t>
  </si>
  <si>
    <t>Sedimentary record of radiolarian biogeography, offshore eastern New Zealand</t>
  </si>
  <si>
    <t>radiolarian; Protista; Subtropical Front; transitional zone; subantarctic zone; multivariate analysis</t>
  </si>
  <si>
    <t>SEA-SURFACE TEMPERATURES; SOUTHWEST PACIFIC; CHATHAM RISE; SOUTHERN-OCEAN; EQUATORIAL PACIFIC; AUCKLAND CURRENT; ASSEMBLAGES; OCEANOGRAPHY; FORAMINIFERA; NORTHEAST</t>
  </si>
  <si>
    <t>Examination of 38 surface sediment samples from offshore eastern New Zealand, between 33 degrees S and 54 degrees S, yielded 100 radiolarian taxa, which are common to abundant in sediments deposited at &gt; 1000 m water depth but rare at shallower depths. In general, radiolarians are most abundant, most diverse, and best preserved in assemblages north of the Subtropical Front (STF). Multivariate analysis of census data for 29 radiolarian-rich samples identifies six sample groups and eight species groups. The STF forms a major biogeographic barrier, separating three transitional zone (TR) and three subantarctic zone (SA) sample groups. The three primary sample groups (TR1, TR2, SA1) record a southward latitudinal trend of decreasing abundance of subtropical-tropical or warm-water taxa (species group 4) and increasing abundance of subantarctic-Antarctic or cool-water taxa (species groups 7 and 8). Two secondary sample groups (TR3 and SA2) may record the influence of shallow-water processes or strong surface currents on either side of the STF. A distinctive sample group (SA3), characterised by low abundance and diversity, records relatively shallow, stratified, and silica-limited conditions of the central Campbell Plateau.</t>
  </si>
  <si>
    <t>Inst Geol &amp; Nucl Sci, Lower Hutt, New Zealand; Natl Inst Water &amp; Atmospher Res Ltd, Wellington, New Zealand</t>
  </si>
  <si>
    <t>GNS Science - New Zealand; National Institute of Water &amp; Atmospheric Research (NIWA) - New Zealand</t>
  </si>
  <si>
    <t>Hollis, CJ (corresponding author), Inst Geol &amp; Nucl Sci, POB 30368, Lower Hutt, New Zealand.</t>
  </si>
  <si>
    <t>Hollis, Christopher/D-3560-2011</t>
  </si>
  <si>
    <t>Hollis, Christopher/0000-0001-8840-9852</t>
  </si>
  <si>
    <t>10.1080/00288330.2005.9517299</t>
  </si>
  <si>
    <t>924WH</t>
  </si>
  <si>
    <t>WOS:000229011000010</t>
  </si>
  <si>
    <t>Hall-Aspland, SA; Hall, AP; Rogers, TL</t>
  </si>
  <si>
    <t>A new approach to the solution of the linear mixing model for a single isotope: application to the case of an opportunistic predator</t>
  </si>
  <si>
    <t>OECOLOGIA</t>
  </si>
  <si>
    <t>Hydrurga leptonyx; Moore-Penrose; nitrogen; pseudoinverse; stable isotope analysis</t>
  </si>
  <si>
    <t>SEALS HYDRURGA-LEPTONYX; STABLE-ISOTOPES; DIET; SIGNATURES; NITROGEN</t>
  </si>
  <si>
    <t>Mixing models are used to determine diets where the number of prey items are greater than one, however, the limitation of the linear mixing method is the lack of a unique solution when the number of potential sources is greater than the number (n) of isotopic signatures +1. Using the IsoSource program all possible combinations of each source contribution (0-100%) in preselected small increments can be examined and a range of values produced for each sample analysed. We propose the use of a Moore Penrose (M-P) pseudoinverse, which involves the inverse of a 2x2 matrix. This is easily generalized to the case of a single isotope with (p) prey sources and produces a specific solution. The Antarctic leopard seal (Hydrurga leptonyx) was used as a model species to test this method. This seal is an opportunistic predator, which preys on a wide range of species including seals, penguins, fish and krill. The M-P method was used to determine the contribution to diet from each of the four prey types based on blood and fur samples collected over three consecutive austral summers. The advantage of the M-P method was the production of a vector of fractions f for each predator isotopic value, allowing us to identify the relative variation in dietary proportions. Comparison of the calculated fractions from this method with 'means' from IsoSource allowed confidence in the new approach for the case of a single isotope, N.</t>
  </si>
  <si>
    <t>Univ Sydney, Fac Vet Sci, Zool Pk Board New S Wales, Australian Marine Mammal Res Ctr, Mosman, NSW 2088, Australia</t>
  </si>
  <si>
    <t>Univ Sydney, Fac Vet Sci, Zool Pk Board New S Wales, Australian Marine Mammal Res Ctr, POB 20, Mosman, NSW 2088, Australia.</t>
  </si>
  <si>
    <t>s_hallasp@hotmail.com</t>
  </si>
  <si>
    <t>Rogers, Tracey L/C-3419-2008</t>
  </si>
  <si>
    <t>Rogers, Tracey/0000-0002-7141-4177</t>
  </si>
  <si>
    <t>0029-8549</t>
  </si>
  <si>
    <t>1432-1939</t>
  </si>
  <si>
    <t>Oecologia</t>
  </si>
  <si>
    <t>10.1007/s00442-004-1783-0</t>
  </si>
  <si>
    <t>902PT</t>
  </si>
  <si>
    <t>WOS:000227369700015</t>
  </si>
  <si>
    <t>Jenouvrier, S; Barbraud, C; Cazelles, B; Weimerskirch, H</t>
  </si>
  <si>
    <t>Modelling population dynamics of seabirds: importance of the effects of climate fluctuations on breeding proportions</t>
  </si>
  <si>
    <t>OIKOS</t>
  </si>
  <si>
    <t>LIFE-HISTORY VARIATION; SEA-ICE EXTENT; COHORT VARIATION; LARGE HERBIVORES; ANTARCTIC KRILL; INDIAN-OCEAN; DENSITY; CONSERVATION; VARIABILITY; PETREL</t>
  </si>
  <si>
    <t>Environmental factors and their interactions are likely to have shaped specific breeding and survival strategies in top predators. Understanding how climatic factors affect populations requires detailed investigation of the demographic parameters and population modelling. Here, we focus on the modelling of a southern fulmar population over a 39 year period in Terre Adelie, Antarctica, using Leslie matrix models to understand from a prospective and retrospective point of view, how vital rates and their variations, affect the cyclic population dynamics. The elasticity of population growth rate to adult survival was very high (0.95), as predicted by a slow-fast continuum in avian life histories. However, adult survival varied little between years (mean +/- SD: 0.92 +/- 0.07), and could not explain the strong fluctuations observed in the number of breeders and chicks. The high temporal fluctuations of the proportion of breeders (0.57 +/- 0.22) and breeding success (0.70 +/- 0.14) had the strongest impact on population dynamics, despite their weak elasticities (0.05). Before the 1980s, population fluctuations were mainly explained by a direct impact of sea-ice extent (SIE) anomalies during summer (by a threshold effect) on the proportion of breeders. After 1980s, 3 years periodic population fluctuations were best predicted by 3 years cyclic variations in the proportion of breeders. SIE showed a marked change of periodicity during the 1980s, and SIE during winter fluctuated with a 3 years periodicity during 1980-1995. The marked change in population dynamics, through a change of the variations of the proportion of breeders, may be explained in the light of a regime shift that probably occurred around the 1980s, and which affected the sea ice environment, the availability of prey, and thus the demographic parameters and population dynamics of southern fulmars.</t>
  </si>
  <si>
    <t>CNRS, Ctr Etud Biol Chize, FR-79360 Villiers En Bois, France; Univ Paris 06, CNRS, UMR 7625, FR-75252 Paris, France</t>
  </si>
  <si>
    <t>Centre National de la Recherche Scientifique (CNRS); Sorbonne Universite; Centre National de la Recherche Scientifique (CNRS)</t>
  </si>
  <si>
    <t>CNRS, Ctr Etud Biol Chize, FR-79360 Villiers En Bois, France.</t>
  </si>
  <si>
    <t>jenouvier@cebc.cnrs.fr</t>
  </si>
  <si>
    <t>Barbraud, Christophe/A-5870-2012; Cazelles, Bernard/B-1572-2013; Weimerskirch, Henri/F-5562-2013; Weimerskirch, Henri/K-7306-2019</t>
  </si>
  <si>
    <t>Barbraud, Christophe/0000-0003-0146-212X; Cazelles, Bernard/0000-0002-7972-361X; Weimerskirch, Henri/0000-0002-0457-586X; jenouvrier, stephanie/0000-0003-3324-2383</t>
  </si>
  <si>
    <t>0030-1299</t>
  </si>
  <si>
    <t>1600-0706</t>
  </si>
  <si>
    <t>Oikos</t>
  </si>
  <si>
    <t>10.1111/j.0030-1299.2005.13351.x</t>
  </si>
  <si>
    <t>895XQ</t>
  </si>
  <si>
    <t>WOS:000226898200009</t>
  </si>
  <si>
    <t>Emig, CC; Bitner, MA</t>
  </si>
  <si>
    <t>Glottidia (Brachiopoda: Lingulidae) from the Eocene La Meseta Formation, Seymour Island, Antarctica</t>
  </si>
  <si>
    <t>PALAEONTOLOGY</t>
  </si>
  <si>
    <t>Eocene; Seymour Island; Antarctica; Brachiopoda; Glottidia</t>
  </si>
  <si>
    <t>BAJA-CALIFORNIA; PALMERI DALL; CLIMATE; MEXICO</t>
  </si>
  <si>
    <t>The specimens previously described as Lingula antarctica Buckman from late Eocene strata on Seymour Island, Antarctic Peninsula, should be assigned to the genus Glottidia. The morphological features and taxonomic characters of G. antarctica are described and illustrated and compared with those of other known species of Glottidia. A full description of G. antarctica is provided and the diagnosis of the genus is emended. Variations in the disposition of the septa and in the shape of the pedicle groove are viewed as evolutionary features among the Glottidia. Glottidia antarctica probably lived in shallow, nearshore warm-temperate waters of normal salinity, perhaps in the intertidal zone. The presence of Glottidia rather than Lingula in the Antarctic Peninsula is consistent with the known geographical distribution of fossil and living Glottidia, i.e. restricted to the coasts of the American continent and Europe where Glottidia has been recorded in strata of Tertiary age.</t>
  </si>
  <si>
    <t>Ctr Oceanol Marseille, CNRS, UMR 6540, F-13007 Marseille, France; Polish Acad Sci, Inst Paleobiol, PL-00818 Warsaw, Poland</t>
  </si>
  <si>
    <t>Centre National de la Recherche Scientifique (CNRS); Polish Academy of Sciences; Institute of Paleobiology of the Polish Academy of Sciences</t>
  </si>
  <si>
    <t>Emig, CC (corresponding author), Ctr Oceanol Marseille, CNRS, UMR 6540, Chemin Batterie Lions, F-13007 Marseille, France.</t>
  </si>
  <si>
    <t>christian.emig@com.univ-mrs.fr; bitner@twarda.pan.pl</t>
  </si>
  <si>
    <t>Bitner, Maria/ABF-5623-2020</t>
  </si>
  <si>
    <t>Bitner, Maria/0000-0002-2864-2967</t>
  </si>
  <si>
    <t>0031-0239</t>
  </si>
  <si>
    <t>10.1111/j.1475-4983.2005.00454.x</t>
  </si>
  <si>
    <t>906NX</t>
  </si>
  <si>
    <t>WOS:000227650000014</t>
  </si>
  <si>
    <t>Liao, YX; Frederick, JE</t>
  </si>
  <si>
    <t>The ultraviolet radiation environment of high southern latitudes: Springtime behavior over a decadal timescale</t>
  </si>
  <si>
    <t>OZONE DEPLETION; NETWORK</t>
  </si>
  <si>
    <t>Four spectroradiometers located at latitudes from 55 degrees to 90 degrees S conducted near-continuous measurements of ground-level solar ultraviolet irradiance from 1990 through 2001. The behavior during months from October through December is of special interest because this period includes the springtime loss in column ozone and the naturally large irradiances of early summer. Monthly integrated irradiances using biological weightings for erythema and damage to DNA show a distortion of the normal annual cycle in irradiance, with enhanced values occurring in October and November. In some cases, these irradiances exceed those near summer solstice in December. Changes in local cloudiness and column ozone both contribute significantly to interannual variability in erythemal irradiance. This is particularly the case at Palmer Station, near 65 degrees S, where the monthly integrated erythemal irradiance in November 1997 was more than double that observed 5 years earlier. In general, at sites on the Antarctic continent, interannual variability in monthly integrated erythemal irradiance is greatest in November, when the observation for any given year can fall 40% above or below the multiyear mean. Near the tip of South America, interannual variability is approximately half that seen in Antarctica.</t>
  </si>
  <si>
    <t>1751-1097</t>
  </si>
  <si>
    <t>10.1562/2004-07-21-RA-239.1</t>
  </si>
  <si>
    <t>917LO</t>
  </si>
  <si>
    <t>WOS:000228463500012</t>
  </si>
  <si>
    <t>Villiers, M; Cooper, J; Ryan, P</t>
  </si>
  <si>
    <t>Individual variability of behavioural responses by Wandering Albatrosses (Diomedea exulans) to human disturbance</t>
  </si>
  <si>
    <t>PRINCE-EDWARD-ISLANDS; NEST DEFENSE; PENGUINS; AGGRESSIVENESS; MATURATION; PLUMAGE</t>
  </si>
  <si>
    <t>Sub-Antarctic Marion Island has had a permanent research station for 50 years and the island's Wandering Albatrosses have been intensively studied for 20 years. The reactions of breeding birds to approaches by a human on foot were recorded. Three response variables were calculated: intensity of vocal reaction (IVR), intensity of non-vocal reaction (INR) and overall response index (ORI). At 5 m from the nest, twice as many birds stood and/or vocalised as at 15 m. Nearest neighbour distance, age and gender did not explain individual variability of responses. Study colony birds had higher IVR scores than non-study colony birds; birds at colonies closest to the station had the highest ORI scores. A better breeding record was associated with lower IVR and ORI scores, but a causative relationship remains to be demonstrated. A minimum viewing distance of 25 m is recommended for breeding Wandering Albatrosses.</t>
  </si>
  <si>
    <t>Univ Cape Town, Avian Demog Unit, Dept Stat Sci, ZA-7701 Rondebosch, South Africa; Univ Cape Town, Percy Fitzpatrick Inst African Ornithol, ZA-7701 Rondebosch, South Africa</t>
  </si>
  <si>
    <t>University of Cape Town; University of Cape Town</t>
  </si>
  <si>
    <t>Univ Cape Town, Avian Demog Unit, Dept Stat Sci, ZA-7701 Rondebosch, South Africa.</t>
  </si>
  <si>
    <t>mdevill@adu.uct.ac.za; jcooper@adu.uct.ac.za; pryan@botzoo.uct.ac.za</t>
  </si>
  <si>
    <t>Ryan, Peter/0000-0002-3356-2056</t>
  </si>
  <si>
    <t>10.1007/s00300-004-0682-5</t>
  </si>
  <si>
    <t>905EX</t>
  </si>
  <si>
    <t>WOS:000227552000001</t>
  </si>
  <si>
    <t>Place, S; Hofmann, G</t>
  </si>
  <si>
    <t>Constitutive expression of a stress-inducible heat shock protein gene, hsp70, in phylogenetically distant Antarctic fish</t>
  </si>
  <si>
    <t>NOTOTHENIOID FISH; TREMATOMUS-BERNACCHII; COLD DENATURATION; HEAT-SHOCK-PROTEIN-70; CARDIOMYOCYTES; TEMPERATURES; DIVERGENCE; PROTECTION; FOCARDII; EUPLOTES</t>
  </si>
  <si>
    <t>Previous research on Antarctic notothenioid fishes demonstrated the loss of the heat-shock response characterized by the rapid synthesis of molecular chaperones in response to increasing pools of damaged proteins. We determined that this loss was the result of constitutive expression of the inducible hsp70 gene. In this study, we examined the extent of this unique expression pattern in Antarctic fish by comparing the expression of two genes, the constitutive hsc71 gene and the inducible hsp70 gene, in tissues from Trematomus bernacchii to expression in tissues of Pagothenia borchgrevinki, a second Antarctic notothenioid, and Lycodichthys dearborni, a phylogenetically distant Antarctic species. Our study indicated that the expression of hsc71 is similar in all species; however, the constitutive expression of the inducible hsp70 gene was also manifested in these species. These data further suggest that cold denaturation of proteins at ecologically relevant temperatures may be contributing to this change in expression of the hsp70 gene.</t>
  </si>
  <si>
    <t>10.1007/s00300-004-0697-y</t>
  </si>
  <si>
    <t>WOS:000227552000002</t>
  </si>
  <si>
    <t>Pontier, D; Say, L; Devillard, S; Bonhomme, F</t>
  </si>
  <si>
    <t>Genetic structure of the feral cat (Felis catus L.) introduced 50 years ago to a sub-Antarctic Island</t>
  </si>
  <si>
    <t>KERGUELEN ARCHIPELAGO; POPULATION-STRUCTURE; RELATEDNESS; DISTANCE; MICROSATELLITES; DIFFERENTIATION; DIVERSITY; RICHNESS; MUTATION; ECOLOGY</t>
  </si>
  <si>
    <t>Information about the invasion dynamics and demographic status of invasive species is essential to choose the optimal control options of population numbers. While long-term direct demographic and historical records are generally lacking, the analysis of the genetic variability of a current population might supply information about past and current demographic processes. In this study, we analysed the genetic variability of the cat population living on the main island of the Kerguelen archipelago. Genetic diversity was consistent with the introduction of a very small number of individuals followed by a demographic explosion of the cat population. Significant genetic structure among sites (F-st=0.06 +/- 0.005) and absence of isolation by distance could indicate that the initial phase of fast colonisation is now over. Estimates of individual relatedness indicated a significant kin structure. Overall data suggested that the cat population of the main island has probably reached carrying capacity.</t>
  </si>
  <si>
    <t>Univ Lyon 1, UMR 5558, CNRS, F-69622 Villeurbanne, France; Univ Montpellier 2, UMR 500, CNRS, F-34095 Montpellier, France</t>
  </si>
  <si>
    <t>VetAgro Sup; Universite Claude Bernard Lyon 1; Centre National de la Recherche Scientifique (CNRS); CNRS - Institute of Ecology &amp; Environment (INEE); Universite de Montpellier; Centre National de la Recherche Scientifique (CNRS)</t>
  </si>
  <si>
    <t>Pontier, D (corresponding author), Univ Lyon 1, UMR 5558, CNRS, 43 Bd 11 Novembre 1918, F-69622 Villeurbanne, France.</t>
  </si>
  <si>
    <t>dpontier@biomser.univ-lyon1.fr</t>
  </si>
  <si>
    <t>dev, seb/IYJ-0117-2023; Bonhomme, Francois/AAG-6558-2021</t>
  </si>
  <si>
    <t>Bonhomme, Francois/0000-0002-8792-9239; DEVILLARD, Sebastien/0000-0001-6911-4362; Pontier, Dominique/0000-0003-4700-3543</t>
  </si>
  <si>
    <t>10.1007/s00300-004-0692-3</t>
  </si>
  <si>
    <t>WOS:000227552000003</t>
  </si>
  <si>
    <t>Brandt, A; Ellingsen, KE; Brix, S; Brökeland, W; Malyutina, M</t>
  </si>
  <si>
    <t>Southern Ocean deep-sea isopod species richness (Crustacea, Malacostraca):: influences of depth, latitude and longitude</t>
  </si>
  <si>
    <t>PERACARIDA CRUSTACEA; COMMUNITY PATTERNS; EPIBENTHIC-SLEDGE; BRANSFIELD STRAIT; BENTHIC DIVERSITY; CONTINENTAL-SLOPE; SPATIAL-PATTERNS; EAST GREENLAND; ABUNDANCE; ATLANTIC</t>
  </si>
  <si>
    <t>We examined deep-sea epibenthic sledge isopod data from the Atlantic sector of the Southern Ocean (SO) (depth range=742-5,191 m). Samples were taken during the expeditions EASIZ II (ANT XV-3) in 1998 and ANDEEP I and II (ANT XIX3/4) in 2002. A total of 471 isopod species were recorded from 28 sites. The species richness of the epibenthic sledge samples was highly variable (6-82 species). Species richness was highest at site 131-3 in 3,053 m depth in the north-eastern Weddell Sea. The highest numbers of species were sampled in the middle depth range and lower species richness was found in the shallower and deeper parts of the study area. Depth is suggested to explain isopod species richness better than both latitude and longitude. Between 58 degrees S and 65 degrees S, the number of species ranged from 9 to 82 (mean=35.9). Further south in the Weddell Sea, between 73 degrees S and 74 degrees S, species richness was lower and the number of species ranged from 6 to 35 (mean=19.2). With regard to longitude, the highest species richness (up to 82 species) was found between 50 degrees W and 60 degrees W in the area of the South Shetland Islands and around the Antarctic Peninsula, while numbers did not exceed 50 species in the eastern Weddell Sea. The haul length, ranging from 807 to 6,464 m, was positively correlated with depth; however, there was no linear relationship between haul length and species richness. We therefore suggest that depth was the most important factor explaining isopod species richness. However, only 28 sites were visited and the statistical power is thus limited. Sampling in the deep sea is expensive and time consuming and as yet this is the best isopod data set available from the Atlantic sector of the SO. Future expeditions are therefore important to better explain the current patterns of benthic diversity in Antarctica.</t>
  </si>
  <si>
    <t>Univ Hamburg, Zool Museum, D-20146 Hamburg, Germany; Univ Oslo, Dept Biol, N-0316 Oslo, Norway; FEB RAS, Inst Marine Biol, Vladivostok 690041, Russia</t>
  </si>
  <si>
    <t>University of Hamburg; University of Oslo; Russian Academy of Sciences; National Scientific Center of Marine Biology, Far East Branch of the Russian Academy of Sciences</t>
  </si>
  <si>
    <t>Brandt, A (corresponding author), Univ Hamburg, Zool Museum, Martin Luther King Pl 3, D-20146 Hamburg, Germany.</t>
  </si>
  <si>
    <t>abrandt@zoologie.uni-hamburg.de</t>
  </si>
  <si>
    <t>Malyutina, Marina/JAC-6506-2023; Malyutina, Marina/A-6839-2014; Brandt, Angelika/C-1630-2018</t>
  </si>
  <si>
    <t>Malyutina, Marina/0000-0003-2161-3917; Ellingsen, Kari Elsa/0000-0002-2321-8278</t>
  </si>
  <si>
    <t>10.1007/s00300-004-0688-z</t>
  </si>
  <si>
    <t>WOS:000227552000005</t>
  </si>
  <si>
    <t>Thatje, S; Bacardit, R; Arntz, W</t>
  </si>
  <si>
    <t>Larvae of the deep-sea nematocarcinidae (Crustacea:Decapoda:Caridea) from the southern ocean</t>
  </si>
  <si>
    <t>ANTARCTIC SHRIMPS CRUSTACEA; EARLY JUVENILE DEVELOPMENT; EASTERN WEDDELL SEA; DIFFERENT TEMPERATURES; CAMPYLONOTUS-VAGANS; PARALOMIS-GRANULOSA; TRADE-OFFS; LATITUDES; LANCEOPES; ANOMURA</t>
  </si>
  <si>
    <t>The early larval stages of the deep-sea Nematocarcinidae, Nematocarcinus longirostris Bate, 1888, from the south-western Atlantic Ocean, and N. lanceopes Bate, 1888, from the high Antarctic Weddell Sea, were obtained from plankton catches, described and illustrated. Furthermore, field collected larvae of N. lanceopes were compared with larvae hatched and reared under constant laboratory conditions. The morphology of larvae in both species clearly indicates a planktotrophic and extended mode of larval development. This is an outstanding feature in deep-sea and especially in high-latitudinal caridean shrimp species, and the consequence of such reproductive trait for life history adaptations to both deep-sea and polar environments is discussed.</t>
  </si>
  <si>
    <t>Alfred Wegener Inst Polar &amp; Marine Res, D-27515 Bremerhaven, Germany</t>
  </si>
  <si>
    <t>Thatje, S (corresponding author), Alfred Wegener Inst Polar &amp; Marine Res, POB 120 161, D-27515 Bremerhaven, Germany.</t>
  </si>
  <si>
    <t>10.1007/s00300-004-0687-0</t>
  </si>
  <si>
    <t>WOS:000227552000006</t>
  </si>
  <si>
    <t>Vazquez, S; Ruberto, L; Mac Cormack, W</t>
  </si>
  <si>
    <t>Properties of extracellular proteases from three psychrotolerant Stenotrophomonas maltophilia isolated from Antarctic soil</t>
  </si>
  <si>
    <t>XANTHOMONAS-MALTOPHILIA; PSYCHROPHILIC ENZYMES; LOW-TEMPERATURE; BACTERIA; COLD; METALLOPROTEASE; PURIFICATION; TAXONOMY</t>
  </si>
  <si>
    <t>Three Antarctic psychrotolerant Stenotrophomonas maltophilia were isolated and the characteristics of their extracellular serine proteases were described. The isolates were able to grow at 14 and 34 degrees C, but grew better between 20 and 28 degrees C. The highest protease secretion was reached at 20-24 degrees C. The purified enzyme preparations had maximal activity at 55-60 degrees C and alkaline pH. They showed high pH stability, retaining more than 60% of residual activity after 3 h of incubation at a pH range of 4-12. The thermal stability was slightly lower compared with a commercial mesophilic protease, with 74-79% residual activity after 90 min at 40 degrees C and 50% inactivation at 50 degrees C between 43 and 69 min. These properties suggest that the Antarctic isolates could be adapted to cold by means of synthesising more enzymes with high activity but that the proteases they produce are not truly cold-active, being more similar to mesophilic enzymes.</t>
  </si>
  <si>
    <t>Consejo Nacl Invest Cient &amp; Tecn, RA-1033 Buenos Aires, DF, Argentina; Univ Buenos Aires, Catedra Biotecnol, FFyB, Buenos Aires, DF, Argentina; Inst Antartico Argentino, Buenos Aires, DF, Argentina</t>
  </si>
  <si>
    <t>Consejo Nacional de Investigaciones Cientificas y Tecnicas (CONICET); University of Buenos Aires; Instituto Antartico Argentino</t>
  </si>
  <si>
    <t>Vazquez, S (corresponding author), Consejo Nacl Invest Cient &amp; Tecn, Junin 956 6 Piso,C1113AAD, RA-1033 Buenos Aires, DF, Argentina.</t>
  </si>
  <si>
    <t>svazquez@ffyb.uba.ar</t>
  </si>
  <si>
    <t>10.1007/s00300-004-0673-6</t>
  </si>
  <si>
    <t>WOS:000227552000009</t>
  </si>
  <si>
    <t>da Silva, JRMC; Porto-Neto, LR; Borges, JCS; Jensch-Junior, BE</t>
  </si>
  <si>
    <t>Germicide capacity of macrophages (Mθ) in the Antarctic fish Notothenia coriiceps (Richardson, 1844) at 0°C</t>
  </si>
  <si>
    <t>IN-VIVO; PERITONEAL-MACROPHAGES; PHAGOCYTOSIS; VITRO</t>
  </si>
  <si>
    <t>The germicide capability of the macrophage (MO) of the Antarctic fish Notothenia coriiceps is demonstrated using fluorescence microscopy for the first time. The MOs were able to kill microorganisms by intracellular mechanism and this killing can be stimulated by oyster-derived glycogen. Although the phagocytosis index is lower than in temperate water fish species, this work demonstrates that non-specific defence mechanism plays an important role in the polar environment. There are some studies on inflammation in N. coriiceps [Silva et al. (1998) Polar Biol 20:206-212], parasite-host relation [Silva et al. (1999) Polar Biol 22:417-424] and phagocytosis [Silva et al. (2002) J Fish Biol 60:466-478]. These previous studies have shown that the MO were able to identify biotic and abiotic factors. However, it can be of interest to study the activity of MO in microorganism killing, and this work adds new insights of this fundamental process under Antarctic temperatures.</t>
  </si>
  <si>
    <t>Univ Sao Paulo, Dept Histol &amp; Embryol, Lab Evolut Histophysiol, Biomed Sci Inst, BR-05508900 Sao Paulo, Brazil</t>
  </si>
  <si>
    <t>da Silva, JRMC (corresponding author), Univ Sao Paulo, Dept Histol &amp; Embryol, Lab Evolut Histophysiol, Biomed Sci Inst, Av Prof Lineu Prestes,1524, BR-05508900 Sao Paulo, Brazil.</t>
  </si>
  <si>
    <t>jrmcs@usp.br</t>
  </si>
  <si>
    <t>Silva, J.R.M.C./H-7496-2016; Borges, João CS/B-9057-2012; Porto-Neto, Laercio/D-2594-2012</t>
  </si>
  <si>
    <t>Silva, J.R.M.C./0000-0002-1687-8526; Porto-Neto, Laercio/0000-0002-3536-8265; Shimada Borges, Joao Carlos/0000-0002-3947-4655</t>
  </si>
  <si>
    <t>10.1007/s00300-004-0704-3</t>
  </si>
  <si>
    <t>WOS:000227552000010</t>
  </si>
  <si>
    <t>Daneri, GA; Carlini, AR; Hernandez, CM; Harrington, A</t>
  </si>
  <si>
    <t>The diet of Antarctic fur seals, Arctocephalus gazella, at King George Island, during the summer-autumn period</t>
  </si>
  <si>
    <t>SOUTH SHETLAND ISLANDS; HARMONY POINT; PREDATION; FISH</t>
  </si>
  <si>
    <t>The diet of non-breeding male Antarctic fur seals, Arctocephalus gazella, was investigated at Stranger Point, King George Island, by scat analysis from February to April 1996. Overall, krill and fish were the most frequent prey, occurring in an average of 97% and 69% of samples (n=128), followed by cephalopods (12%). Myctophids constituted almost 90% of the fish predated, with Electrona antarctica and Gymnoscopelus nicholsi being the most abundant and frequent species consumed. All fish taxa identified were krill-feeding species suggesting that seals foraged primarily on krill and opportunistically on fish species associated with krill swarms. A seasonal change observed in the relative proportions of the different fish prey taxa indicates that fur seals spent more time foraging over the shelf in summer and off the shelf in autumn. During the study period, commercial fishing in the area was not based upon any of the fish identified in this study.</t>
  </si>
  <si>
    <t>Museo Argentino Ciencias Nat Bernardino Rivadavia, Div Mastozool, Buenos Aires, DF, Argentina; Inst Anatrtico Argentino, Dept Biol, Buenos Aires, DF, Argentina</t>
  </si>
  <si>
    <t>Museo Argentino de Ciencias Naturales Bernardino Rivadavia (MACN)</t>
  </si>
  <si>
    <t>Daneri, GA (corresponding author), Museo Argentino Ciencias Nat Bernardino Rivadavia, Div Mastozool, Avenida Angel Gallardo 470,C 1405 DJR, Buenos Aires, DF, Argentina.</t>
  </si>
  <si>
    <t>gadaneri@mail.retina.ar</t>
  </si>
  <si>
    <t>10.1007/s00300-004-0693-2</t>
  </si>
  <si>
    <t>WOS:000227552000011</t>
  </si>
  <si>
    <t>Thatje, S; Lörz, AN</t>
  </si>
  <si>
    <t>First record of lithodid crabs from Antarctic waters off the Balleny Islands</t>
  </si>
  <si>
    <t>DECAPODA; CRUSTACEA; DIVERSITY; ANOMURA</t>
  </si>
  <si>
    <t>Four specimens of Neolithodes brodiei Dawson and Yaldwyn (1970) have been obtained for the first time from bottom trawls deployed in Antarctic waters off the Balleny Islands (about 67 degrees S) in March 2004. The Lithodidae constitute the only anomuran crab family so far known to be able to thrive under high-Antarctic conditions, and lithodids in the Ross Sea have previously only been recorded off Scott Island. The new record of N. brodiei, commonly found in waters off New Zealand, clearly extends its geographic range into the Southern Ocean. The significance of this finding with respect to the biodiversity and distribution of the Lithodidae from the Southern Ocean is briefly discussed.</t>
  </si>
  <si>
    <t>Alfred Wegener Inst Polar &amp; Marine Res, D-27515 Bremerhaven, Germany; Natl Inst Water &amp; Atmospher Res, Wellington, New Zealand</t>
  </si>
  <si>
    <t>Helmholtz Association; Alfred Wegener Institute, Helmholtz Centre for Polar &amp; Marine Research; National Institute of Water &amp; Atmospheric Research (NIWA) - New Zealand</t>
  </si>
  <si>
    <t>Thatje, S (corresponding author), Alfred Wegener Inst Polar &amp; Marine Res, POB 120-161, D-27515 Bremerhaven, Germany.</t>
  </si>
  <si>
    <t>10.1007/s00300-004-0686-1</t>
  </si>
  <si>
    <t>Green Accepted, Green Submitted</t>
  </si>
  <si>
    <t>WOS:000227552000012</t>
  </si>
  <si>
    <t>Walden, VP; Town, MS; Halter, B; Storey, JWV</t>
  </si>
  <si>
    <t>First measurements of the infrared sky brightness at Dome C, Antarctica</t>
  </si>
  <si>
    <t>PUBLICATIONS OF THE ASTRONOMICAL SOCIETY OF THE PACIFIC</t>
  </si>
  <si>
    <t>EMITTED RADIANCE INTERFEROMETER; SOUTH-POLE; PLATEAU; TEMPERATURES; WINTER</t>
  </si>
  <si>
    <t>Dome C, Antarctica, (75 degrees south, 123 degrees east, 3250 m) is one of the coldest and driest locations on Earth, with exceptionally low winds throughout the atmosphere. It therefore has the potential to be an ideal site for astronomical observations. It is also an excellent site for the validation of satellite instruments. A Fourier transform infrared interferometer was deployed at Dome C during two austral summer seasons ( 2003 January and 2003 December/2004 January) for the purpose of acquiring satellite validation data. However, these data are also useful for understanding the infrared characteristics of the atmosphere for future astronomical experiments at Dome C. The Polar Atmospheric Emitted Radiance Interferometer measured the downwelling infrared radiance from the atmosphere ( sky brightness) from 3 to 20 mm. Over 100 radiosondes were also launched during this time period. Typical measured values of the sky brightness in the clearest portions of the M, N, and Q bands are 0.9, 43, and 310 Jy arcsec(-2), respectively. The lowest measured values of sky brightness within these bands are 0.4, 34, and 200 Jy arcsec(-2). The spectral region of the Q band from about 18.7 to 19 mu m is expected to be an excellent window for observations made from the Antarctic Plateau. The sky brightness has been measured between 10.60 and 11.30 mu m in the N band for comparisons to earlier studies at South Pole Station; the values in this band are similar to those in the 8.20 - 8.40 mu m band. For the period of time covered by our observations, the sky brightness in the dark portions of the N band was less than about 50 - 60 Jy arcsec(-2) for about 10% of the time, and less than about 75 Jy arcsec(-2) for about 50% of the time. During a 5 day period of clear skies, the mean sky brightness was 47.7 Jy arcsec(-2), with a variation about this mean of 4.4 Jy arcsec(-2) ( 1 sigma). Calculations of the summertime atmospheric transmission under clear skies over Dome C show that portions of the M, N, and Q bands have transmission greater than 95%, with some spectral regions greater than 99%.</t>
  </si>
  <si>
    <t>Univ Idaho, Dept Geog, Moscow, ID 83844 USA; Univ Washington, Dept Atmospher Sci, Seattle, WA 98195 USA; Univ New S Wales, Sch Phys, Sydney, NSW 2052, Australia</t>
  </si>
  <si>
    <t>Idaho; University of Idaho; University of Washington; University of Washington Seattle; University of New South Wales Sydney</t>
  </si>
  <si>
    <t>Univ Idaho, Dept Geog, 375 S Line St, Moscow, ID 83844 USA.</t>
  </si>
  <si>
    <t>vonw@uidaho.edu</t>
  </si>
  <si>
    <t>0004-6280</t>
  </si>
  <si>
    <t>1538-3873</t>
  </si>
  <si>
    <t>PUBL ASTRON SOC PAC</t>
  </si>
  <si>
    <t>Publ. Astron. Soc. Pac.</t>
  </si>
  <si>
    <t>10.1086/427988</t>
  </si>
  <si>
    <t>906EP</t>
  </si>
  <si>
    <t>WOS:000227623600011</t>
  </si>
  <si>
    <t>Cofaigh, CO; Dowdeswell, JA; Allen, CS; Hiemstra, JF; Pudsey, CJ; Evans, J; Evans, DJA</t>
  </si>
  <si>
    <t>Flow dynamics and till genesis associated with a marine-based Antarctic palaeo-ice stream</t>
  </si>
  <si>
    <t>PLEISTOCENE-HOLOCENE RETREAT; GRAIN-SIZE DISTRIBUTION; WEST ANTARCTICA; SUBGLACIAL TILL; ROSS SEA; SEDIMENTARY PROCESSES; MICROSCOPIC EVIDENCE; CONTINENTAL-SHELF; BASAL MECHANICS; MARGUERITE BAY</t>
  </si>
  <si>
    <t>Geophysical and geological data indicate that during the last glacial cycle a palaeo-ice stream drained the Antarctic Peninsula Ice Sheet (APIS) through Marguerite Bay to the edge of the continental shelf via a bathymetric trough (Marguerite Trough). Mega-scale glacial lineations (MSGL) in outer Marguerite Trough are formed in an acoustically transparent sediment unit, consisting of a soft deformation till. The association of MSGL with deformation till indicates that bed deformation occurred beneath the ice stream, and the thickness of the subglacial deforming layer was on the order of several metres. MSGL within outer Marguerite Trough are related to a pre-existing thick sequence of soft sediments on the outer shelf and are inferred to have formed by a combination of subglacial sediment deformation by attenuation from a point source and groove-ploughing. Morphologically, the MSGL differ in several respects from those documented elsewhere and this variation suggests a polygenetic origin for this subglacial landform. An initial advance of the APIS across the Marguerite Bay continental shelf at the LGM deposited a stiff subglacial till. Following this advance, the ice margin within Marguerite Trough retreated 70-100 km before stabilising and depositing a grounding zone wedge. An ice stream then developed in the trough and extended to the shelf edge forming a soft deformation till. Development of the ice stream may have been a glacio-dynamic response to regional deglaciation. Subsequent retreat of the Marguerite Trough ice stream was underway by 13,490 (uncorrected) C-14 years before present. Based on the geophysical and core data, ice-stream retreat appears to have been rapid and it contrasts with reconstructions of palaeo-ice streams from other locations in Antarctica. This implies marked regional variations in Antarctic ice-stream dynamics during Late Quaternary deglaciation. (c) 2004 Elsevier Ltd. All rights reserved.</t>
  </si>
  <si>
    <t>Univ Durham, Dept Geog, Durham DH1 3LE, England; Univ Cambridge, Scott Polar Res Inst, Cambridge CB2 1ER, England; British Antarctic Survey, Cambridge CB3 0ET, England; Univ Coll Swansea, Dept Geog, Swansea SA2 8PP, W Glam, Wales</t>
  </si>
  <si>
    <t>Durham University; University of Cambridge; UK Research &amp; Innovation (UKRI); Natural Environment Research Council (NERC); NERC British Antarctic Survey; Swansea University</t>
  </si>
  <si>
    <t>Univ Durham, Dept Geog, S Rd, Durham DH1 3LE, England.</t>
  </si>
  <si>
    <t>colm.o'cofaigh@durham.ac.uk</t>
  </si>
  <si>
    <t>Evans, Jeffrey/F-5548-2010; Hiemstra, John F/E-4192-2013</t>
  </si>
  <si>
    <t>Dowdeswell, Julian/0000-0003-1369-9482</t>
  </si>
  <si>
    <t>Natural Environment Research Council [NER/T/S/2000/00986] Funding Source: researchfish</t>
  </si>
  <si>
    <t>10.1016/j.quascirev.2004.10.006</t>
  </si>
  <si>
    <t>908HJ</t>
  </si>
  <si>
    <t>WOS:000227777800011</t>
  </si>
  <si>
    <t>Evans, J; Pudsey, CJ; OCofaigh, C; Morris, P; Domack, E</t>
  </si>
  <si>
    <t>Late Quaternary glacial history, flow dynamics and sedimentation along the eastern margin of the Antarctic Peninsula Ice Sheet</t>
  </si>
  <si>
    <t>PLEISTOCENE-HOLOCENE RETREAT; SCORESBY-SUND; LARSEN-A; ROSS SEA; SUBGLACIAL SEDIMENTS; CONTINENTAL-MARGIN; STREAM-B; SHELF; FACIES; BENEATH</t>
  </si>
  <si>
    <t>Geological and geophysical data from the NE Antarctic Peninsula continental shelf are used to reconstruct the glacial history, flow-dynamics and sedimentation of the Antarctic Peninsula Ice Sheet (APIS) along its eastern margin during the Late Quaternary. Ice advanced to the shelf edge during the Last Glacial Maximum (LGM) and deposited a stiff till across the shelf. The presence of highly attenuated bedforms indicates that fast-flowing outlets drained the APIS through cross-shelf troughs to the outer shelf after this ice advance. The bedforms are formed in deformation till in response to deforming bed processes. Deglaciation of Robertson Trough and the troughs of Prince Gustav Channel, Larsen-A and Larsen Inlet was continuous (and possibly rapid) on account of the absence of ice-margin recessional features. In contrast, grounding-zone wedges across the shelf of Northern Larsen-A and south of Prince Gustav Channel indicate that ice retreat was gradual and was punctuated by stillstands. The transition from a grounded ice sheet to ice shelf conditions was completed before 11-12 (14)Cka BP on the shelf south of Prince GustavChannel, and is marked across the shelf by a change from subglacial till to a transitional heterogeneous unit dominated by coarse-grained facies. Transitional sediments record mainly sub-ice shelf rain-out and restricted bottom current and sediment-laden plume activity, as well as localised debris flows. Meltwater-derived facies are largely absent indicating that release of meltwater was not significant beneath polar ice shelves, or during deglaciation of the APIS. In the broader context, the colder, eastern side of the APIS was extensive and was drained mainly through fast-flowing outlets (palaeo-ice streams). Therefore, the eastern APIS would have been an important contributor to sediment and iceberg flux to the Weddell Sea Embayment during the LGM and subsequent deglaciation. (c) 2004 Elsevier Ltd. All rights reserved.</t>
  </si>
  <si>
    <t>Univ Cambridge, Scott Polar Res Inst, Cambridge CB2 1ER, England; British Antarctic Survey, Geol Div, Cambridge CB3 0ET, England; Hamilton Coll, Dept Geol, Clinton, NY 13323 USA</t>
  </si>
  <si>
    <t>University of Cambridge; UK Research &amp; Innovation (UKRI); Natural Environment Research Council (NERC); NERC British Antarctic Survey; Hamilton College</t>
  </si>
  <si>
    <t>je10007@cam.ac.uk</t>
  </si>
  <si>
    <t>Evans, Jeffrey/F-5548-2010</t>
  </si>
  <si>
    <t>10.1016/j.quascirev.2004.10.007</t>
  </si>
  <si>
    <t>WOS:000227777800012</t>
  </si>
  <si>
    <t>Anderson, MS; Andringa, JM; Carlson, RW; Conrad, P; Hartford, W; Shafer, M; Soto, A; Tsapin, AI; Dybwad, JP; Wadsworth, W; Hand, K</t>
  </si>
  <si>
    <t>Fourier transform infrared spectroscopy for Mars science</t>
  </si>
  <si>
    <t>REVIEW OF SCIENTIFIC INSTRUMENTS</t>
  </si>
  <si>
    <t>REFLECTANCE SPECTROSCOPY; MINERALS; WATER; SOIL</t>
  </si>
  <si>
    <t>Presented here is a Fourier transform infrared spectrometer (FTIR) for field studies that serves as a prototype for future Mars science applications. Infrared spectroscopy provides chemical information that is relevant to a number of Mars science questions. This includes mineralogical analysis, nitrogen compound recognition, truth testing of remote sensing measurements, and the ability to detect organic compounds. The challenges and scientific opportunities are given for the in situ FTIR analysis of Mars soil and rock samples. Various FTIR sampling techniques are assessed and compared to other analytical instrumentation. The prototype instrument presented is capable of providing field analysis in a Mars analog Antarctic environment. FTIR analysis of endolithic microbial communities in Antarctic rocks and a Mars meteor are given as analytical examples. (C) 2005 American Institute of Physics.</t>
  </si>
  <si>
    <t>CALTECH, Jet Prop Lab, Pasadena, CA 91109 USA; Designs &amp; Prototypes Ltd, Nashua, NH 03064 USA; Stanford Univ, Stanford, CA 94305 USA</t>
  </si>
  <si>
    <t>California Institute of Technology; National Aeronautics &amp; Space Administration (NASA); NASA Jet Propulsion Laboratory (JPL); Stanford University</t>
  </si>
  <si>
    <t>CALTECH, Jet Prop Lab, 4800 Oak Grove Dr, Pasadena, CA 91109 USA.</t>
  </si>
  <si>
    <t>Mark.S.Anderson@jpl.nasa.gov</t>
  </si>
  <si>
    <t>Hand, Kevin Peter/I-8246-2018; Conrad, Pamela/F-1506-2012</t>
  </si>
  <si>
    <t>Hand, Kevin Peter/0000-0002-3225-9426; Conrad, Pamela/0000-0001-8805-7981; Soto, Alejandro/0000-0002-2333-0307</t>
  </si>
  <si>
    <t>AMER INST PHYSICS</t>
  </si>
  <si>
    <t>1305 WALT WHITMAN RD, STE 300, MELVILLE, NY 11747-4501 USA</t>
  </si>
  <si>
    <t>0034-6748</t>
  </si>
  <si>
    <t>1089-7623</t>
  </si>
  <si>
    <t>REV SCI INSTRUM</t>
  </si>
  <si>
    <t>Rev. Sci. Instrum.</t>
  </si>
  <si>
    <t>10.1063/1.1867012</t>
  </si>
  <si>
    <t>Instruments &amp; Instrumentation; Physics, Applied</t>
  </si>
  <si>
    <t>Instruments &amp; Instrumentation; Physics</t>
  </si>
  <si>
    <t>904WV</t>
  </si>
  <si>
    <t>WOS:000227530200033</t>
  </si>
  <si>
    <t>Zdanowski, MK; Zmuda, MJ; Zwolska, W</t>
  </si>
  <si>
    <t>Bacterial role in the decomposition of marine-derived material (penguin guano) in the terrestrial maritime Antarctic</t>
  </si>
  <si>
    <t>SOIL BIOLOGY &amp; BIOCHEMISTRY</t>
  </si>
  <si>
    <t>Antarctica; bacterial diversity; penguin guano; decomposition</t>
  </si>
  <si>
    <t>KING-GEORGE-ISLAND; ARCTOWSKI-STATION; SOIL BACTERIA; ORNITHOGENIC SOILS; BIOMASS; DIVERSITY; ENUMERATION; NUMBERS; SEA</t>
  </si>
  <si>
    <t>Bacterial decomposition of Adelie Penguin (Pygoscelis adeliae) guano was followed during 42 days exposure in a rookery in Admiralty Bay, King George Island, South Shetland Islands, Antarctica. Bacterial abundance, both total counts (TC) determined by epifluorescence microscopy. and colony forming units (CFU) determined on nutrient media, was enhanced by an air temperature of between 7 and 11degreesC, while temperatures above and below this negatively affected abundance. Optimal temperatures for guano decomposition ranged from 3 to 11degreesC. Increasing wind velocity positively influenced photoautotrophic bacteria (TAC: total autotrophic bacteria count); photoautotrophs were enumerated during epifluorescence microscopy by their autofluorescence. Guano dry weight attained the lowest value of 74% of initial dry weight after 20 days in situ exposure. Changes in guano resulted from decomposition of the component fats, proteins, chitin, nitrogen and carbon, as well as of mineral recycling (Ca, P, Mg, and others). All transformations accompanied bacterial growth, with TC and CFU both attaining 10(11) cells g(-1) d wt of guano. Total bacterial biomass (TBB) increased from 594 mug C g(-1) dry weight in fresh guano, to 9101 mug C g(-1) dry weight after 42 days exposure in situ. Mean cell volume (MCV) also increased from 0.236 to 0.343 mum(3). Photoautotrophic bacteria were numerically the smallest TC fraction throughout the incubation, with TAC to TC ratio ranging from 0.01 to 0.22%. Culturable bacteria abundance in guano increased dramatically from 0.28% of TC (in fresh guano) to 26% (3-h day), and 90% (42nd day) of TC. Within the total CFU population, copiotrophic bacteria were ca. two orders of magnitude more abundant than oligotrophic bacteria. Chitinolytic bacteria in guano were detected only late in the incubation; by 42 days, &gt;40% of the initial chitin content remained. This material may comprise a significant fraction of the soil in the penguin rookery. Bacteria Cultivated from the penguin guano displayed high morphophysiological diversity. (C) 2004 Elsevier Ltd. All rights reserved.</t>
  </si>
  <si>
    <t>Polish Acad Sci, Dept Antarctic Biol, PL-02141 Warsaw, Poland; Inst Meteorol &amp; Water Management, PL-01673 Warsaw, Poland</t>
  </si>
  <si>
    <t>Polish Academy of Sciences; Institute of Meteorology &amp; Water Management</t>
  </si>
  <si>
    <t>Polish Acad Sci, Dept Antarctic Biol, Ustrzycka 10-12, PL-02141 Warsaw, Poland.</t>
  </si>
  <si>
    <t>marek@dab.waw.pl</t>
  </si>
  <si>
    <t>Zmuda-Baranowska, Magdalena/0000-0003-0645-3396</t>
  </si>
  <si>
    <t>0038-0717</t>
  </si>
  <si>
    <t>SOIL BIOL BIOCHEM</t>
  </si>
  <si>
    <t>Soil Biol. Biochem.</t>
  </si>
  <si>
    <t>10.1016/j.soilbio.2004.08.020</t>
  </si>
  <si>
    <t>Soil Science</t>
  </si>
  <si>
    <t>Agriculture</t>
  </si>
  <si>
    <t>891DM</t>
  </si>
  <si>
    <t>WOS:000226561500019</t>
  </si>
  <si>
    <t>Alexeev, VA</t>
  </si>
  <si>
    <t>The history of ordinary chondrites from the data on stable isotopes of noble gases (a review)</t>
  </si>
  <si>
    <t>SOLAR SYSTEM RESEARCH</t>
  </si>
  <si>
    <t>LOST CITY METEORITE; RAY EXPOSURE AGES; NON-ANTARCTIC METEORITES; CANADIAN CAMERA NETWORK; H-CHONDRITES; STONY METEORITES; PARENT BODY; COSMOGENIC NUCLIDES; ORBITAL EVOLUTION; TERRESTRIAL AGES</t>
  </si>
  <si>
    <t>The results of studying the distributions of stable radiogenic and cosmogenic isotopes of noble gases in ordinary chondrites are reviewed here: the distributions of gas-retention and exposure ages are anaylyzed, the chronology and consequences of catastrophic destruction of the parent bodies of H and L chondrites are discussed, the fallen and preatmospheric masses of Antarctic and non-Antarctic meteorites are compared, the diffusion losses of noble gases in meteorites are considered, the ablation of meteorites and their mean lifetime after separation from the parent bodies are estimated, and a number of other problems are discussed.</t>
  </si>
  <si>
    <t>Russian Acad Sci, VI Vernadskii Inst Geochem &amp; Analyt Chem, Moscow 119991, Russia</t>
  </si>
  <si>
    <t>Russian Academy of Sciences; Vernadsky Institute of Geochemistry &amp; Analytical Chemistry</t>
  </si>
  <si>
    <t>Alexeev, VA (corresponding author), Russian Acad Sci, VI Vernadskii Inst Geochem &amp; Analyt Chem, Ul Kosygina 19, Moscow 119991, Russia.</t>
  </si>
  <si>
    <t>Alexeev, Victor/0000-0002-1835-9009</t>
  </si>
  <si>
    <t>0038-0946</t>
  </si>
  <si>
    <t>1608-3423</t>
  </si>
  <si>
    <t>SOLAR SYST RES+</t>
  </si>
  <si>
    <t>Solar Syst. Res.</t>
  </si>
  <si>
    <t>10.1007/s11208-005-0028-z</t>
  </si>
  <si>
    <t>924BJ</t>
  </si>
  <si>
    <t>WOS:000228953300004</t>
  </si>
  <si>
    <t>Woodberry, P; Stevens, G; Snape, I; Stark, S</t>
  </si>
  <si>
    <t>Removal of metal contaminants from saline waters at low temperature by an iminodiacetic acid ion-exchange resin, Thala Valley tip, Casey Station, Antarctica</t>
  </si>
  <si>
    <t>SOLVENT EXTRACTION AND ION EXCHANGE</t>
  </si>
  <si>
    <t>ion-exchange; iminiodiacetic acid; low temperature; salinity; Antarctica; metals</t>
  </si>
  <si>
    <t>CHELATING RESIN; TRACE-METALS; CHROMATOGRAPHY; PRECONCENTRATION; SPECTROMETRY; PERFORMANCE; SELECTIVITY; TRANSITION; SORPTION; COLUMN</t>
  </si>
  <si>
    <t>Effects of salinity and low temperature on the removal of dissolved contaminant metals from water by an iminodiacetic acid (IDA) ion-exchange resin, Amberlite IRC748, were investigated under batch equilibrium conditions. As expected for ions retained by chelation, the efficiency of the resin was reduced with low temperature. The efficiency of the resin increased with salinity: increasing salinity (from 0% seawater) reduces protonation of the resin, lowering solution pH into the optimum pH range for the retention of contaminant metal ions. Selectivities of the divalent matrix cations, Ca2+ and Mg2+, were decreased with increasing salinity: this is attributed to a shift to an ion-exchange retention mechanism for these ions, which is favoured at lower solution pH. At low salinity, the selectivity for Ca2+ and Mg2+ was decreased at low temperature, however at higher salinities, selectivity was unaffected by low temperature. This is consistent with the proposal of a shift from a chelation to an ion-exchange mechanism for these ions.</t>
  </si>
  <si>
    <t>Univ Melbourne, Dept Chem Engn, Melbourne, Vic 3010, Australia; Australian Antarctic Div, Hobart, Tas, Australia</t>
  </si>
  <si>
    <t>University of Melbourne; Melbourne Bioinformatics; Australian Antarctic Division</t>
  </si>
  <si>
    <t>Univ Melbourne, Dept Chem Engn, Melbourne, Vic 3010, Australia.</t>
  </si>
  <si>
    <t>Penny.Woodbeffy@aad.gov.au</t>
  </si>
  <si>
    <t>Stevens, Geoffrey/0000-0002-5788-4682</t>
  </si>
  <si>
    <t>0736-6299</t>
  </si>
  <si>
    <t>1532-2262</t>
  </si>
  <si>
    <t>SOLVENT EXTR ION EXC</t>
  </si>
  <si>
    <t>Solvent Extr. Ion Exch.</t>
  </si>
  <si>
    <t>10.1081/SEI-200044387</t>
  </si>
  <si>
    <t>Chemistry, Multidisciplinary</t>
  </si>
  <si>
    <t>910GU</t>
  </si>
  <si>
    <t>WOS:000227919700008</t>
  </si>
  <si>
    <t>Soll, SJ; Stewart, BS; Lehman, N</t>
  </si>
  <si>
    <t>Conservation of MHC class II DOA sequences among carnivores</t>
  </si>
  <si>
    <t>TISSUE ANTIGENS</t>
  </si>
  <si>
    <t>Antarctic; carnivore; class II; DOA; MHC; phocid pinniped; seals</t>
  </si>
  <si>
    <t>ANTIGEN PRESENTATION; HLA-DO</t>
  </si>
  <si>
    <t>We obtained the nucleotide sequence for most of the major histocompatibility complex (MHC) class II DOA locus for Weddell, leopard, northern elephant, and southern elephant seals and from the coyote and compared them to all known DOA data available to date. We found generally low levels of interspecific polymorphisms, providing further support for stabilizing selection acting on the DOA locus. This suggests that DO gene products play a substantial functional role in the regulation of antigen presentation. A seven-amino-acid motif of VWRLPEF was found to be conserved across all DOA sequences and may be a DO-specific recognition element.</t>
  </si>
  <si>
    <t>Portland State Univ, Dept Chem, Portland, OR 97207 USA; Hubbs SeaWorld Res Inst, San Diego, CA USA</t>
  </si>
  <si>
    <t>Portland State University</t>
  </si>
  <si>
    <t>Portland State Univ, Dept Chem, POB 751, Portland, OR 97207 USA.</t>
  </si>
  <si>
    <t>niles@pdx.edu</t>
  </si>
  <si>
    <t>Lehman, Niles/ABF-7609-2021; Lehman, Niles/A-3434-2008</t>
  </si>
  <si>
    <t>Lehman, Niles/0000-0002-9056-6600;</t>
  </si>
  <si>
    <t>0001-2815</t>
  </si>
  <si>
    <t>1399-0039</t>
  </si>
  <si>
    <t>Tissue Antigens</t>
  </si>
  <si>
    <t>10.1111/j.1399-0039.2005.00371.x</t>
  </si>
  <si>
    <t>Cell Biology; Immunology; Pathology</t>
  </si>
  <si>
    <t>900AW</t>
  </si>
  <si>
    <t>WOS:000227188800011</t>
  </si>
  <si>
    <t>Thomas, DN</t>
  </si>
  <si>
    <t>Photosynthetic microbes in freezing deserts</t>
  </si>
  <si>
    <t>TRENDS IN MICROBIOLOGY</t>
  </si>
  <si>
    <t>EXTREMOPHILES; EUROPA; SEARCH; LIFE</t>
  </si>
  <si>
    <t>Polar deserts are not devoid of life despite the extreme low temperature and scarcity of water. Recently, patterned stone fields - caused by periglacial activity have been surveyed in the Arctic and Antarctic. It was found that the productivity of the cyanobacteria and algae (hypoliths) that colonise the underside of the stones is strongly related to the pattern of the stones. The hypolith assemblages were in some cases as productive as lichens, bryophytes and plants that resided nearby.</t>
  </si>
  <si>
    <t>Univ Wales Bangor, Sch Ocean Sci, Biochem Grp, Anglesey LL59 5AB, Wales</t>
  </si>
  <si>
    <t>Bangor University</t>
  </si>
  <si>
    <t>Univ Wales Bangor, Sch Ocean Sci, Biochem Grp, Anglesey LL59 5AB, Wales.</t>
  </si>
  <si>
    <t>d.thomas@bangor.ac.uk</t>
  </si>
  <si>
    <t>Thomas, David Neville/B-1448-2010</t>
  </si>
  <si>
    <t>Thomas, David Neville/0000-0001-8832-5907</t>
  </si>
  <si>
    <t>0966-842X</t>
  </si>
  <si>
    <t>1878-4380</t>
  </si>
  <si>
    <t>TRENDS MICROBIOL</t>
  </si>
  <si>
    <t>Trends Microbiol.</t>
  </si>
  <si>
    <t>10.1016/j.tim.2004.11.002</t>
  </si>
  <si>
    <t>910LL</t>
  </si>
  <si>
    <t>WOS:000227932800001</t>
  </si>
  <si>
    <t>Tryland, M; Klein, J; Nordoy, ES; Blix, AS</t>
  </si>
  <si>
    <t>Isolation and partial characterization of a parapoxvirus isolated from a skin lesion of a Weddell seal</t>
  </si>
  <si>
    <t>VIRUS RESEARCH</t>
  </si>
  <si>
    <t>Antarctic; seal; parapoxvirus; phylogeny; wildlife disease</t>
  </si>
  <si>
    <t>POX-LIKE LESIONS; HALICHOERUS-GRYPUS; CONTAGIOUS ECTHYMA; INFECTION; DIAGNOSIS; REINDEER</t>
  </si>
  <si>
    <t>A solitary skin lesion was found on the neck of a Weddell seal (Leptonychotes weddellii), chemically immobilized in Queen Maud Land (70degrees09'S, 05degrees22'E) Antarctica 2001. The lesion was elevated and 3 cm in diameter, consisting of partly fresh and partly necrotic tissue, and proliferative papilloma-like structures were seen. Electron microscopy on a biopsy from the lesion revealed typical parapoxvirus particles. Polymerase chain reaction (PCR; B2L gene) generated amplicons of approximately 594 base pairs, comparable to Orf-virus, the prototype parapoxvirus. A comparison of these B2L PCR amplicon DNA sequences with corresponding sequences from other parapoxviruses, showed that the Weddell seal virus resembled isolates from grey seal (Halichoerus grypus) and harbour seal (Phoca vitulina) more than parapoxvirus from red deer (Cervus elaphus), sheep, cattle and Japanese serows (Capricornis crispus). It is thus concluded that the Weddell seal parapoxvirus belong to the tentative seal parapoxvirus species. Since parapox and orthopoxviruses may cause similar clinical diseases, we suggest that the term sealpox should be restricted to the clinical disease, whereas seal parapoxvirus should be used when caused by a parapoxvirus, rather than the general term sealpox virus. This is the first verified case of parapoxvirus infection in a Weddell seal, and also the first report of any such infections in the Antarctic. (C) 2004 Elsevier B.V. All rights reserved.</t>
  </si>
  <si>
    <t>Norwegian Sch Vet Sci, Dept Food Safety &amp; Infect Biol, Sect Arctic Vet Med, N-9292 Tromso, Norway; Univ Tromso, Dept Microbiol &amp; Virol, N-9037 Tromso, Norway; Univ Tromso, Dept Arctic Biol, N-9037 Tromso, Norway</t>
  </si>
  <si>
    <t>Norwegian University of Life Sciences; UiT The Arctic University of Tromso; UiT The Arctic University of Tromso</t>
  </si>
  <si>
    <t>Tryland, M (corresponding author), Norwegian Sch Vet Sci, Dept Food Safety &amp; Infect Biol, Sect Arctic Vet Med, POB 6204, N-9292 Tromso, Norway.</t>
  </si>
  <si>
    <t>morten.tryland@veths.no</t>
  </si>
  <si>
    <t>Klein, Jörn/AAD-6914-2020; Klein, Jörn/AAZ-5768-2020</t>
  </si>
  <si>
    <t>Klein, Jörn/0000-0002-1803-4167; Tryland, Morten/0000-0001-5394-5196</t>
  </si>
  <si>
    <t>0168-1702</t>
  </si>
  <si>
    <t>VIRUS RES</t>
  </si>
  <si>
    <t>Virus Res.</t>
  </si>
  <si>
    <t>10.1016/j.virusres.2004.08.005</t>
  </si>
  <si>
    <t>Virology</t>
  </si>
  <si>
    <t>898NO</t>
  </si>
  <si>
    <t>WOS:000227083700010</t>
  </si>
  <si>
    <t>Westerhold, T; Bickert, T; Röhl, U</t>
  </si>
  <si>
    <t>Middle to late Miocene oxygen isotope stratigraphy of ODP site 1085 (SE Atlantic):: new constrains on miocene climate variability and sea-level fluctuations</t>
  </si>
  <si>
    <t>ODP site 1085; miocene; oxygen isotopes; astrochronology; Mi events; sea level</t>
  </si>
  <si>
    <t>OLIGOCENE/MIOCENE BOUNDARY; ASTRONOMICAL CALIBRATION; EARTHS OBLIQUITY; CYCLES; OSCILLATIONS; CHRONOLOGY; EVOLUTION; EUSTASY; RECORDS</t>
  </si>
  <si>
    <t>The middle Miocene delta(18)O increase represents a fundamental change in earth's climate system due to a major expansion and permanent establishment of the East Antarctic Ice Sheet accompanied by some effect of deepwater cooling. The long-term cooling trend in the middle to late Miocene was superimposed by several punctuated periods of glaciations (Mi-Events) characterized by oxygen isotopic shifts that have been related to the waxing and waning of the Antarctic ice-sheet and bottom water cooling. Here, we present a high-resolution benthic stable oxygen isotope record from ODP Site 1085 located at the southwestern African continental margin that provides a detailed chronology for the middle to late Miocene (13.9-7.3 Ma) climate transition in the eastern South Atlantic. A composite Fe intensity record obtained by XRF core scanning ODP Sites 1085 and 1087 was used to construct an astronomically calibrated chronology based on orbital tuning. The oxygen isotope data exhibit four distinct delta(18)O excursions, which have astronomical ages of 13.8, 13.2, 11.7, and 10.4 Ma and correspond to the Mi3, Mi4, Mi5, and Mi6 events. A global climate record was extracted from the oxygen isotopic composition. Both long- and short-term variabilities in the climate record are discussed in terms of sea-level and deep-water temperature changes. The oxygen isotope data support a causal link between sequence boundaries traced from the shelf and glacioeustatic changes due to ice-sheet growth. Spectral analysis of the benthic delta(18)O record shows strong power in the 400-kyr and 100-kyr bands documenting a paleoceanographic response to eccentricity-modulated variations in precession. A spectral peak around 180-kyr might be related to the asymmetry of the obliquity cycle indicating that the response of the dominantly unipolar Antarctic ice-sheet to obliquity-induced variations probably controlled the middle to late Miocene climate system. Maxima in the delta(18)O record, interpreted as glacial periods, correspond to minima in 100-kyr eccentricity cycle and minima in the 174-kyr obliquity modulation. Strong middle to late Miocene glacial events are associated with 400-kyr eccentricity minima and obliquity modulation minima. Thus, fluctuations in the amplitude of obliquity and eccentricity seem to be the driving force for the middle to late Miocene climate variability. (C) 2004 Elsevier B.V. All rights reserved.</t>
  </si>
  <si>
    <t>Univ Bremen, Fachbereich Geowissenschaften, D-28334 Bremen, Germany</t>
  </si>
  <si>
    <t>University of Bremen</t>
  </si>
  <si>
    <t>Univ Bremen, Fachbereich Geowissenschaften, D-28334 Bremen, Germany.</t>
  </si>
  <si>
    <t>tho@uni-bremen.de</t>
  </si>
  <si>
    <t>Westerhold, Thomas/D-4581-2011; Röhl, Ursula/G-5986-2011</t>
  </si>
  <si>
    <t>Westerhold, Thomas/0000-0001-8151-4684; Röhl, Ursula/0000-0001-9469-7053</t>
  </si>
  <si>
    <t>FEB 25</t>
  </si>
  <si>
    <t>10.1016/j.palaeo.2004.12.001</t>
  </si>
  <si>
    <t>901VJ</t>
  </si>
  <si>
    <t>WOS:000227309900003</t>
  </si>
  <si>
    <t>Hooker, SK; Miller, PJO; Johnson, MP; Cox, OP; Boyd, IL</t>
  </si>
  <si>
    <t>Ascent exhalations of Antarctic fur seals: a behavioural adaptation for breath-hold diving?</t>
  </si>
  <si>
    <t>marine mammal; otariid; diving; physiology; Antarctic fur seal; shallow-water blackout</t>
  </si>
  <si>
    <t>ACOUSTIC RECORDING TAG; CEREBRAL TOLERANCE; MARINE PREDATORS; SIMULATED DIVES; GAS-EXCHANGE; BUOYANCY; PENGUINS; PHYSIOLOGY; RESPONSES; DEPTH</t>
  </si>
  <si>
    <t>Novel observations collected from video, acoustic and conductivity sensors showed that Antarctic fur seals consistently exhale during the last 50-85% of ascent from all dives (10-160m, n &gt; 8000 dives from 50 seals). The depth of initial bubble emission was best predicted by maximum dive depth, suggesting an underlying physical mechanism. Bubble sound intensity recorded from one seal followed predictions of a simple model based on venting expanding lung air with decreasing pressure. Comparison of air release between dives, together with lack of variation in intensity of thrusting movement during initial descent regardless of ultimate: dive depth, suggested that inhaled diving lung volume was constant for all dives. The thrusting intensity in the final phase of ascent was greater for dives in which ascent exhalation began at a greater depth, suggesting an energetic cost to this behaviour, probably as a result of loss of buoyancy from reduced lung volume:. These results suggest that fur seals descend with full lung air stores, and thus face the physiological consequences of pressure at depth. We suggest that these regular and predictable ascent exhalations could function to reduce the potential for a precipitous drop in blood oxygen that would result in shallow-water blackout.</t>
  </si>
  <si>
    <t>Univ St Andrews, Sea Mammal Res Unit, St Andrews KY16 8LB, Fife, Scotland; British Antarctic Survey, NERC, Cambridge CB3 0ET, England; Woods Hole Oceanog Inst, Woods Hole, MA 02543 USA; Wild Insight Ltd, Ely CB7 4HJ, England</t>
  </si>
  <si>
    <t>University of St Andrews; UK Research &amp; Innovation (UKRI); Natural Environment Research Council (NERC); NERC British Antarctic Survey; Woods Hole Oceanographic Institution</t>
  </si>
  <si>
    <t>Univ St Andrews, Sea Mammal Res Unit, St Andrews KY16 8LB, Fife, Scotland.</t>
  </si>
  <si>
    <t>s.hooker@st-andrews.ac.uk</t>
  </si>
  <si>
    <t>Hooker, Sascha K/J-3267-2013</t>
  </si>
  <si>
    <t>Johnson, Mark/0000-0001-8424-3197; Hooker, Sascha/0000-0002-7518-3548</t>
  </si>
  <si>
    <t>FEB 22</t>
  </si>
  <si>
    <t>10.1098/rspb.2004.2964</t>
  </si>
  <si>
    <t>908RY</t>
  </si>
  <si>
    <t>Green Submitted, Green Published</t>
  </si>
  <si>
    <t>WOS:000227809000002</t>
  </si>
  <si>
    <t>Rea, DK; Lyle, MW</t>
  </si>
  <si>
    <t>Paleogene calcite compensation depth in the eastern subtropical Pacific: Answers and questions</t>
  </si>
  <si>
    <t>DEEP-SEA; SEDIMENTOLOGICAL EVIDENCE; ANTARCTIC GLACIATION; EQUATORIAL PACIFIC; ISOTOPIC EVIDENCE; ICE-SHEET; OCEAN; OLIGOCENE; RECORD; HISTORY</t>
  </si>
  <si>
    <t>Ocean Drilling Program Leg 199 drilled a north- south transect across the Eocene paleoequator in th eastern Pacific, permitting reconstruction the calcite compensation depth (CCD) since earliest Eocene time. The CCD was relatively shallow near the early Eocene Pacific equator, 3200 m, and unlike modern latitudinal CCD gradients deepened to the north (to similar to3600 m; paleolatitude similar to10degreesN). At 41 Ma the CCD underwent a brief, sharp, transient deepening of 700 m, then remained shallow until the Eocene/Oligocene boundary. At the E/O boundary, the CCD deepened by 1200 m in less than 300 kyr. This rapid deepening served to more than double the area of seafloor subject to CaCO3 deposition. Sea level fall associated with ice volume buildup, and ensuing shelf-basin fractionation, is unlikely to be the sole cause of the increased deep-ocean CaCO3 burial; rather, a sudden, rapid increase in the amount of Ca entering the ocean appears necessary to explain the observations.</t>
  </si>
  <si>
    <t>Univ Michigan, Dept Geol Sci, Ann Arbor, MI 48109 USA; Boise State Univ, Ctr Geophys Invest Shallow Subsurface, Boise, ID 83725 USA</t>
  </si>
  <si>
    <t>University of Michigan System; University of Michigan; Idaho; Boise State University</t>
  </si>
  <si>
    <t>Rea, DK (corresponding author), Univ Michigan, Dept Geol Sci, 2534 CC Lillte Bldg,425 E Univ Ave, Ann Arbor, MI 48109 USA.</t>
  </si>
  <si>
    <t>davidrea@umich.edu</t>
  </si>
  <si>
    <t>FEB 19</t>
  </si>
  <si>
    <t>PA1012</t>
  </si>
  <si>
    <t>10.1029/2004PA001064</t>
  </si>
  <si>
    <t>900LF</t>
  </si>
  <si>
    <t>WOS:000227215700001</t>
  </si>
  <si>
    <t>Reijmer, CH; van Meijgaard, E; van den Broeke, MR</t>
  </si>
  <si>
    <t>Evaluation of temperature and wind over Antarctica in a Regional Atmospheric Climate Model using 1 year of automatic weather station data and upper air observations</t>
  </si>
  <si>
    <t>TEMPORAL VARIABILITY; BOUNDARY-LAYER; SCALAR TRANSFER; POLAR MM5; SURFACE; SNOW; HEAT; ICE; PARAMETERIZATION; PRECIPITATION</t>
  </si>
  <si>
    <t>The Regional Atmospheric Climate Model version 2 (RACMO2/ANT) is used to simulate the Antarctic atmosphere for the year 1998. The parameterizations of the physical processes in the model are taken from the European Centre for Medium-Range Weather Forecasts ( ECMWF) global model and adapted to better represent the specific conditions over the Antarctic continent. The snow albedo was increased by decreasing the rate of albedo change as a function of temperature. This results in a decrease, and an improvement, in near-surface air temperatures in summer, especially over the Antarctic plateau. The surface roughness length for momentum was decreased. This increases the wind speed over the total atmospheric column. As a result, wind speeds better correspond to measurements, especially near the surface and in high wind speed areas. Comparison with ECMWF 40-year reanalyses (ERA40) data show that RACMO2/ANT better reproduces the near-surface conditions in terms of temperature and wind speed mainly due to the changes made to the physics description. Away from the surface, ERA40 better corresponds to observations due to the inclusion of the observed profiles in the reanalyses.</t>
  </si>
  <si>
    <t>Univ Utrecht, Inst Marine &amp; Atmospher Res, NL-3584 CC Utrecht, Netherlands; Royal Netherlands Meteorol Inst, NL-3730 AE De Bilt, Netherlands</t>
  </si>
  <si>
    <t>Reijmer, CH (corresponding author), Univ Utrecht, Inst Marine &amp; Atmospher Res, Princetonplein 5, NL-3584 CC Utrecht, Netherlands.</t>
  </si>
  <si>
    <t>c.h.tijm-reijmer@phys.uu.nl</t>
  </si>
  <si>
    <t>Van den Broeke, Michiel R./F-7867-2011; Reijmer, Carleen H/G-8736-2011</t>
  </si>
  <si>
    <t>Van den Broeke, Michiel R./0000-0003-4662-7565; Reijmer, Carleen H/0000-0001-8299-3883</t>
  </si>
  <si>
    <t>FEB 18</t>
  </si>
  <si>
    <t>D4</t>
  </si>
  <si>
    <t>D04103</t>
  </si>
  <si>
    <t>10.1029/2004JD005234</t>
  </si>
  <si>
    <t>900KO</t>
  </si>
  <si>
    <t>WOS:000227214000004</t>
  </si>
  <si>
    <t>Chernyshev, AV</t>
  </si>
  <si>
    <t>Redescription of Korotkevitschia pelagica (Korotkevitsch, 1961) (Enopla: Hoplonemertea: Cratenemertea), a pelagic nemertean from Antarctica</t>
  </si>
  <si>
    <t>Korotkevitschia pelagica; Antarctic; Hoplonemertea; Korotkevitschiidae; morphology; systematics</t>
  </si>
  <si>
    <t>The anatomy of the holotype of the Antarctic hoplonemertean, Korotkevitschia pelagica, is redescribed and illustrated. The systematic position of the species is discussed. A new, extended, diagnosis is provided for the epipelagic cratenemertid family Korotkevitschiidae, which includes the genera Korotkevitschia and Achoronemertes and an undescribed species, referred to as Atlantic H.</t>
  </si>
  <si>
    <t>Russian Acad Sci, Inst Marine Biol, Far Eastern Branch, Vladivostok 690041, Russia</t>
  </si>
  <si>
    <t>Russian Academy of Sciences; National Scientific Center of Marine Biology, Far East Branch of the Russian Academy of Sciences</t>
  </si>
  <si>
    <t>Chernyshev, AV (corresponding author), Russian Acad Sci, Inst Marine Biol, Far Eastern Branch, Ul Palchevskogo 17, Vladivostok 690041, Russia.</t>
  </si>
  <si>
    <t>chernyshov@marbio.dvgu.ru</t>
  </si>
  <si>
    <t>Chernyshev, Alexei/A-7195-2014</t>
  </si>
  <si>
    <t>Chernyshev, Alexei/0000-0002-2203-3001</t>
  </si>
  <si>
    <t>PO BOX 41383, AUCKLAND, 1030, NEW ZEALAND</t>
  </si>
  <si>
    <t>903AJ</t>
  </si>
  <si>
    <t>WOS:000227397500001</t>
  </si>
  <si>
    <t>Finn, CA; Müller, RD; Panter, KS</t>
  </si>
  <si>
    <t>A Cenozoic diffuse alkaline magmatic province (DAMP) in the southwest Pacific without rift or plume origin -: art. no. Q02005</t>
  </si>
  <si>
    <t>geochemistry; geophysics; tectonics; alkaline magmatism; metasomatism</t>
  </si>
  <si>
    <t>MARIE-BYRD-LAND; ROSS-SEA-RIFT; ANTARCTIC ICE-SHEET; TRACE-ELEMENT; UPPER-MANTLE; NEW-ZEALAND; WEST ANTARCTICA; CRUSTAL STRUCTURE; SEISMIC EVIDENCE; HEAT-FLOW</t>
  </si>
  <si>
    <t>[1] Common geological, geochemical, and geophysical characteristics of continental fragments of East Gondwana and adjacent oceanic lithosphere define a long-lived, low-volume, diffuse alkaline magmatic province (DAMP) encompassing the easternmost part of the Indo-Australian Plate, West Antarctica, and the southwest portion of the Pacific Plate. A key to generating the Cenozoic magmatism is the combination of metasomatized lithosphere underlain by mantle at only slightly elevated temperatures, in contrast to large igneous provinces where mantle temperatures are presumed to be high. The SW Pacific DAMP magmatism has been conjecturally linked to rifting, strike- slip faulting, mantle plumes, or hundreds of hot spots, but all of these associations have flaws. We suggest instead that sudden detachment and sinking of subducted slabs in the late Cretaceous induced Rayleigh-Taylor instabilities along the former Gondwana margin that in turn triggered lateral and vertical flow of warm Pacific mantle. The interaction of the warm mantle with metasomatized subcontinental lithosphere that characterizes much of the SW Pacific DAMP concentrates magmatism along zones of weakness. The model may also provide a mechanism for warming south Pacific mantle and resulting Cenozoic alkaline magmatism, where the oceanic areas are characterized primarily, but not exclusively, by short-lived hot spot tracks not readily explained by conventional mantle plume theory. This proposed south Pacific DAMP is much larger and longer- lived than previously considered.</t>
  </si>
  <si>
    <t>US Geol Survey, Denver Fed Ctr, Denver, CO 80226 USA; Univ Sydney, Sch Geosci, Sydney, NSW 2006, Australia; Univ Sydney, Inst Marine Sci, Sydney, NSW 2006, Australia; Bowling Green State Univ, Dept Geol, Bowling Green, OH USA</t>
  </si>
  <si>
    <t>United States Department of the Interior; United States Geological Survey; University of Sydney; University of Sydney; University System of Ohio; Bowling Green State University</t>
  </si>
  <si>
    <t>US Geol Survey, Denver Fed Ctr, MS 945, Denver, CO 80226 USA.</t>
  </si>
  <si>
    <t>kpanter@bgnet.bgsu.edu</t>
  </si>
  <si>
    <t>Finn, Carol A/HKN-9277-2023; Panter, Kurt S/B-4486-2010; Müller, Dietmar/L-1200-2019</t>
  </si>
  <si>
    <t>Finn, Carol A/0000-0002-6178-0405; Müller, Dietmar/0000-0002-3334-5764; Panter, Kurt S./0000-0002-0990-5880</t>
  </si>
  <si>
    <t>FEB 16</t>
  </si>
  <si>
    <t>Q02005</t>
  </si>
  <si>
    <t>10.1029/2004GC000723</t>
  </si>
  <si>
    <t>900JZ</t>
  </si>
  <si>
    <t>WOS:000227212500001</t>
  </si>
  <si>
    <t>Williams, PW; King, DNT; Zhao, JX; Collerson, KD</t>
  </si>
  <si>
    <t>Late pleistocene to holocene composite speleothem 18O and 13C chronologies from south island, new Zealand-did a global younger dryas really exist?</t>
  </si>
  <si>
    <t>climate change; palaeoclimate; speleothems; stable isotopes; Quatemary; New Zealand</t>
  </si>
  <si>
    <t>LAST GLACIAL MAXIMUM; SEA-LEVEL; CLIMATE-CHANGE; NORTH-ISLAND; ISOTOPIC COMPOSITION; VEGETATION CHANGE; PALAEO-CLIMATE; ICE-CORE; RECORDS; TEMPERATURE</t>
  </si>
  <si>
    <t>Oxygen and carbon data from eight stalagmites from northwest South Island are combined to produce composite records of delta(18)O and delta(13)C from 23.4 ka to the present. The chronology is anchored by 43 thermal ionization mass spectrometry (TIMS) uranium series ages. Delta O-18 values are interpreted as having a first order positive relationship to temperature, but also to be influenced by precipitation in a complex manner. Delta C-13 is interpreted as responding negatively to increases in atmospheric CO, concentration, biological activity and precipitation amount. Six climatic phases are recognized. After adjustment of 1.2parts per thousand for the ice volume effect, the delta(18)O record between 23 and 18 ka varies around -3.72parts per thousand compared to the Holocene average of -3.17parts per thousand. Late-glacial warming commenced between 18.2 and 17.8 ka and accelerated after 16.7 ka, culminating in a positive excursion between 14.70 and 13.53 ka. This was followed by a significant negative excursion between 13.53 and 11.14 ka of up to 0.55parts per thousand depth that overlapped the Antarctic Cold Reversal (ACR) and spanned the Younger Dryas (YD). Positive delta(18)O excursions at 11.14 ka and 6.91-6.47 ka represent the warmest parts of the Holocene. The mid-Holocene from 6 to 2 ka was marked by negative excursions that coincide with increased glacial activity in the South Island. A short positive excursion from 0.71 to 0.57 ka was slightly later than the Medieval Warm Period of Europe. Delta C-13 values were high until 17.79 ka after which there was an abrupt decrease to 17.19 ka followed by a steady decline to a minimum at 10.97 ka. Then followed a general increase, suggesting a drying trend, to 3.23 ka followed by a further general decline. The abrupt decrease in delta-values after 17.79 ka probably corresponds to an increase in atmospheric CO2 concentration, biological activity and wetness at the end of the Last Glaciation, but the reversal identified in the delta(18)O record from 13.53 to 11.14 ka was not reflected in delta(13)C changes. The lowest delta(13)C values coincided with the early Holocene climatic suboptimum when conditions were relatively wet as well as mild. Major trends in the delta(18)O(c) record are similar to the Northern Hemisphere, but second order detail is often distinctly different. Consequently, at the millennial scale, a more convincing case can be made for asymmetric climatic response between the two hemispheres rather than synchronicity. (C) 2004 Elsevier B.V. All rights reserved.</t>
  </si>
  <si>
    <t>Univ Auckland, Sch Geog &amp; Environm Sci, Auckland 1, New Zealand; Natl Inst Water &amp; Atmospher Res, Auckland, New Zealand; Univ Queensland, ACQUIRE, Brisbane, Qld 4067, Australia</t>
  </si>
  <si>
    <t>University of Auckland; National Institute of Water &amp; Atmospheric Research (NIWA) - New Zealand; University of Queensland</t>
  </si>
  <si>
    <t>Univ Auckland, Sch Geog &amp; Environm Sci, PB 92019, Auckland 1, New Zealand.</t>
  </si>
  <si>
    <t>p.williams@auckland.ac.nz</t>
  </si>
  <si>
    <t>Zhao, Jian-xin/A-5938-2008</t>
  </si>
  <si>
    <t>Zhao, Jian-xin/0000-0002-2413-6178; Williams, Paul W./0000-0002-0298-8441</t>
  </si>
  <si>
    <t>FEB 15</t>
  </si>
  <si>
    <t>10.1016/j.epsl.2004.10.024</t>
  </si>
  <si>
    <t>897LG</t>
  </si>
  <si>
    <t>WOS:000227004800006</t>
  </si>
  <si>
    <t>Vione, D; Maurino, V; Minero, C; Pelizzetti, E</t>
  </si>
  <si>
    <t>Nitration and photonitration of naphthalene in aqueous systems</t>
  </si>
  <si>
    <t>POLYCYCLIC AROMATIC-HYDROCARBONS; PHENOL PHOTONITRATION; NITRITE ION; GAS-PHASE; PEROXYNITROUS ACID; PULSE-RADIOLYSIS; NITROGEN-DIOXIDE; UV IRRADIATION; ENVIRONMENTAL CHEMISTRY; HYDROXYL RADICALS</t>
  </si>
  <si>
    <t>The nitration of naphthalene was studied in aqueous solution to gain insight into the processes leading to the nitration of aromatic compounds in atmospheric hydrometeors. Reactants used were nitric acid, nitrogen dioxide and peroxynitrous acid in the dark nitrate, and nitrite/nitrous acid under illumination. Naphthalene nitration can lead to two possible isomers, 1- and 2-nitronaphthalene. The former nitrocompound preferentially forms upon electrophilic processes and in the presence of nitrogen dioxide. Electrophilic nitration of naphthalene takes place in the presence of concentrated nitric acid, but nitration with nitric acid and oxidants (charge-transfer nitration) occurs under much milder conditions than with nitric acid alone. Charge, transfer nitration may have some environmental significance in particular cases, e.g. in acidic aerosols in the presence of HNO3 and oxidants. Nitrogen dioxide is thought to have a role in PAH nitration in the Antarctic particulate matter. In previous papers we have found that nitration induced by peroxynitrous acid, HOONO, can follow two pathways, the former electrophilic (leading for instance to the formation of nitrophenols from phenol) and the latter probably involving HOONO itself (accounting for the formation of nitrobenzene from benzene). In the case of naphthalene and HOONO the electrophilic pathway mainly leads to 1-nitronaphthalene, while the other one preferentially yields 2-nitronaphthalene. The nitration of naphthalene in the presence of nitrite/nitrous acid under irradiation leads to both nitroisomers in similar ratios, and the process is not inhibited by hydroxyl scavengers. This excludes nitrogen dioxide as reactive species for nitration and marks a difference with phenol photonitration and a similarity with the behavior of benzene under comparable conditions. Nitrite photochemistry (and nitrite-induced photonitration as well) is expected to be relevant in fog and cloudwater in polluted areas. An important difference with the gas-phase nitration is that the radicals (OH)-O-. and (NO3)-N-. are unlikely to play a relevant role in the nitration of naphthalene in aqueous solution.</t>
  </si>
  <si>
    <t>Univ Turin, Dipartimento Chim Analit, I-10125 Turin, Italy</t>
  </si>
  <si>
    <t>University of Turin</t>
  </si>
  <si>
    <t>Vione, D (corresponding author), Univ Turin, Dipartimento Chim Analit, Via P Giuria 5, I-10125 Turin, Italy.</t>
  </si>
  <si>
    <t>davide.vione@unito.it</t>
  </si>
  <si>
    <t>Minero, Claudio/A-6444-2008; Vione, Davide/A-4047-2008</t>
  </si>
  <si>
    <t>Minero, Claudio/0000-0001-9484-130X; Maurino, Valter/0000-0001-8456-525X</t>
  </si>
  <si>
    <t>10.1021/es048855p</t>
  </si>
  <si>
    <t>897KB</t>
  </si>
  <si>
    <t>WOS:000227001700025</t>
  </si>
  <si>
    <t>Green, WJ; Stage, BR; Preston, A; Wagers, S; Shacat, J; Newell, S</t>
  </si>
  <si>
    <t>Geochemical processes in the Onyx River, Wright Valley, Antarctica: Major ions, nutrients, trace</t>
  </si>
  <si>
    <t>MCMURDO DRY VALLEYS; LAKE VANDA; ELEMENTS; ZONE; CHEMISTRY; EVOLUTION; STREAMS; METALS; ORIGIN; SALTS</t>
  </si>
  <si>
    <t>We present data on major ions, nutrients and trace metals in an Antarctic stream. The Onyx River is located in Wright Valley (77-32 S; 161-34 E), one of a group of ancient river and glacier-carved landforms that comprise the McMurdo Dry Valleys of Antarctica. The river is more than 30 km long and is the largest of the glacial meltwater streams that characterize this relatively ice-free region near the Ross Sea. The complete absence of rainfall in the region and the usually small contributions of glacially derived tributaries to the main channel make this a comparatively simple system for geochemical investigation. Moreover, the lack of human impacts, past or present, provides an increasingly rare window onto a pristine aquatic system. For all major ions and silica, we observe increasing concentrations with distance from Lake Brownworth down to the recording weir near Lake Vanda. Chemical weathering rates are unexpectedly high and may be related to the rapid dissolution of ancient carbonate deposits and to the severe physical weathering associated with the harsh Antarctic winter. Of the nutrients, nitrate and dissolved reactive phosphate appear to have quite different sources. Nitrate is enriched in waters near the Lower Wright Glacier and may ultimately be derived from stratospheric sources; while phosphate is likely to be the product of chemical weathering of valley rocks and soils. We confirm the work of earlier investigations regarding the importance of the Boulder Pavement as a nutrient sink. Dissolved Mn, Fe, Ni, Cu, and Cd are present at nanomolar levels and, in all cases, the concentrations of these metals are lower than in average world river water. We hypothesize that metal uptake and exchange with particulate phases along the course of the river may serve as a buffer for the dissolved load. Concurrent study of these three solute classes points out significant differences in the mechanisms and sites of their removal from the Onyx River. Copyright (C) 2005 Elsevier Ltd.</t>
  </si>
  <si>
    <t>Miami Univ, Sch Interdisciplinary Studies, Oxford, OH 45056 USA</t>
  </si>
  <si>
    <t>University System of Ohio; Miami University</t>
  </si>
  <si>
    <t>Miami Univ, Sch Interdisciplinary Studies, Oxford, OH 45056 USA.</t>
  </si>
  <si>
    <t>greenwj@muohio.edu</t>
  </si>
  <si>
    <t>Newell, Silvia E/M-4336-2014</t>
  </si>
  <si>
    <t>10.1016/j.gca.2004.08.001</t>
  </si>
  <si>
    <t>899UJ</t>
  </si>
  <si>
    <t>WOS:000227170500004</t>
  </si>
  <si>
    <t>Boyle, EA; Bergquist, BA; Kayser, RA; Mahowald, N</t>
  </si>
  <si>
    <t>Iron, manganese, and lead at Hawaii Ocean Time-series station ALOHA: Temporal variability and an intermediate water hydrothermal plume</t>
  </si>
  <si>
    <t>NORTHEAST PACIFIC; LOIHI SEAMOUNT; NITROGEN-FIXATION; MODEL SIMULATION; ATMOSPHERIC IRON; DISSOLVED FE; SEAWATER; DUST; TRANSPORT; AEROSOLS</t>
  </si>
  <si>
    <t>Trace metal clean techniques were used to sample Hawaii Ocean Time-series (HOT) station ALOHA on seven occasions between November 1998 and October 2002. On three occasions, full water column profile samples were obtained; on the other four occasions, surface and near-surface euphotic zone profiles were obtained. Together with three other published samplings, this site may have been monitored for dissolved (less than or equal to0.4 or less than or equal to0.2 mum) Fe more frequently than any other open ocean site in the world. Low Fe concentrations (&lt; 0.1 nmol kg(-1)) are seen in the lower euphotic zone, and Fe concentrations increase to a maximum in intermediate waters. In the deepwaters (&gt; 2500 m), the concentrations we observe (0.4-0.5 nmol kg(-1)) are significantly lower than some other deep North Pacific stations but are similar to values that have been reported for a station 350 miles to the northeast. We attribute these low deepwater values to transport of low-Fe Antarctic Bottom Water into the basin and a balance between Fe regeneration and scavenging in the deep water. Near-surface waters have higher Fe levels than observed in the lower euphotic zone. Significant temporal variability is seen in near-surface Fe concentrations (ranging from 0.2-0.7 nmol kg(-1)); we attribute these surface Fe fluctuations to variable dust deposition, biological uptake, and changes in the mixed layer depth. This variability could occur only if the surface layer Fe residence time is less than a few, years, and based on that constraint, it appears that a higher percentage of the total Fe must be released from North Pacific aerosols compared to North Atlantic aerosols. Surprisingly, significant temporal variability and high particulate Fe concentrations are observed for intermediate waters (1000-1500 m). These features are seen in the depth interval where high delta(3)He from the nearby Loihi Seamount hydrothermal fields has been observed; the total Fe/He-3 ratio implies that the hydrothermal vents are the source of the high and variable Fe. The vertical profile of Mn at ALOHA qualitatively resembles other North Pacific Mn profiles with surface and intermediate water maxima, but there are some significant quantitative differences from other reported profiles. The less than or equal to 50.4 mum Mn concentration is highest near the surface, decreases sharply in the upper 500 m, then shows an intermediate water maximum at 800 m and then decreases in the deepest waters; these concentrations are higher than observed at a station 350 miles to the northeast that shows similar vertical variations. It appears that there is a significant Mn gradient (throughout the water column) from HOT towards the northeast. Compared to the first valid oceanic Pb data for samples collected in 1976, Pb at ALOHA in 1997-1999 shows decreases in surface waters and waters shallower than 200 m. Pb concentrations in central North Pacific surface waters have decreased by a factor of 2 during the past 25 yr (from similar to65 to similar to30 pmol kg(-1)); surface water Pb concentrations in the central North Atlantic and central North Pacific are now comparable. We attribute the surface water Pb decrease to the elimination of leaded gasoline in Japan and to some extent by the U.S. and Canada. We attribute most of the remaining Ph in Pacific surface waters to Asian emissions, more likely due to high-temperature industrial activities such as coal burning rather than to leaded gasoline consumption. A 3-year mixed-layer time series from the nearby HALE-ALOHA mooring site (1997-1999) shows that there is an annual cycle in Ph with concentrations similar to20% higher in winter months; this rise may be created by downward mixing of the winter mixed layer into the steep gradient of higher Ph in the upper thermocline (Pb concentrations double between the surface and 200 m). From 200 m to the bottom, Pb concentrations decrease to levels of 5-9 pmol kg(-1) near the bottom; for most of the water column, thermocline and deepwater Pb concentrations do not appear to have changed significantly during the 23-yr interval. Copyright (C) 2005 Elsevier Ltd.</t>
  </si>
  <si>
    <t>MIT, Cambridge, MA 02139 USA; Natl Ctr Atmospher Res, Boulder, CO 80307 USA</t>
  </si>
  <si>
    <t>Massachusetts Institute of Technology (MIT); National Center Atmospheric Research (NCAR) - USA</t>
  </si>
  <si>
    <t>MIT, Cambridge, MA 02139 USA.</t>
  </si>
  <si>
    <t>eaboyle@mit.edu</t>
  </si>
  <si>
    <t>Mahowald, Natalie M/D-8388-2013</t>
  </si>
  <si>
    <t>Mahowald, Natalie M/0000-0002-2873-997X</t>
  </si>
  <si>
    <t>10.1016/j.gca.2004.07.034</t>
  </si>
  <si>
    <t>WOS:000227170500010</t>
  </si>
  <si>
    <t>Coleman, IJ; Freeman, MP</t>
  </si>
  <si>
    <t>Fractal reconnection structures on the magnetopause</t>
  </si>
  <si>
    <t>INTERPLANETARY MAGNETIC-FIELD; SOLAR-WIND EPSILON; MAGNETOSPHERE; INDEXES; LINES; CUSP</t>
  </si>
  <si>
    <t>Simple laminar flow models of the magnetosheath plasma lead to predictions of large-scale reconnection structures on the dayside magnetopause. There is observational evidence from the ionosphere that such structures exist. However, in situ observations of the magnetosheath plasma near the magnetopause indicate that the fluid is highly disordered, with the magnetic field orientation in particular being extremely noisy. This raises the question of how coherent large-scale reconnection structures can be created and persist. This paper shows that, if the apparent noise in the magnetosheath field has the characteristics of fractal turbulence, large-scale structures can persist even when the apparent noise levels in the draped magnetic field are very large. Furthermore, the common observation of reconnection transients is naturally explained by this model.</t>
  </si>
  <si>
    <t>Coleman, IJ (corresponding author), British Antarctic Survey, Cambridge CB3 0ET, England.</t>
  </si>
  <si>
    <t>ijc@bas.ac.uk</t>
  </si>
  <si>
    <t>Freeman, Mervyn/E-5687-2019</t>
  </si>
  <si>
    <t>Freeman, Mervyn/0000-0002-8653-8279</t>
  </si>
  <si>
    <t>L03115</t>
  </si>
  <si>
    <t>10.1029/2004GL021779</t>
  </si>
  <si>
    <t>900KA</t>
  </si>
  <si>
    <t>WOS:000227212600003</t>
  </si>
  <si>
    <t>Chilvers, BL; Delean, S; Gales, NJ; Holley, DK; Lawler, IR; Marsh, H; Preen, AR</t>
  </si>
  <si>
    <t>Diving behaviour of dugongs, Dugong dugon (vol 304, pg 203, 2004)</t>
  </si>
  <si>
    <t>James Cook Univ N Queensland, Sch Trop Environm Studies &amp; Geog, Townsville, Qld 4811, Australia; Dept Conservat &amp; Land Management, CALM, Perth, WA, Australia; Australian Antarctic Div, Kingston, Tas 7054, Australia; CRC Reef Res Ctr, Townsville, Qld 4810, Australia; Scotts Plain, Rollands Plains, NSW 2441, Australia</t>
  </si>
  <si>
    <t>James Cook University; Australian Antarctic Division</t>
  </si>
  <si>
    <t>James Cook Univ N Queensland, Sch Trop Environm Studies &amp; Geog, Townsville, Qld 4811, Australia.</t>
  </si>
  <si>
    <t>Helene.Marsh@jcu.edu.au</t>
  </si>
  <si>
    <t>Lawler, Ivan R/G-3901-2010; Chilvers, B. Louise/AAV-1965-2021</t>
  </si>
  <si>
    <t>Chilvers, B. Louise/0000-0002-7657-4217</t>
  </si>
  <si>
    <t>10.1016/j.jembe.2005.01.002</t>
  </si>
  <si>
    <t>901NV</t>
  </si>
  <si>
    <t>WOS:000227290100008</t>
  </si>
  <si>
    <t>Roberts, JL; Newman, JMB; Warner, R; Rattigan, S; Clark, MG</t>
  </si>
  <si>
    <t>Axially symmetric semi-infinite domain models of microdialysis and their application to the determination of nutritive flow in rat muscle</t>
  </si>
  <si>
    <t>JOURNAL OF PHYSIOLOGY-LONDON</t>
  </si>
  <si>
    <t>BLOOD-FLOW; SKELETAL-MUSCLE; QUANTITATIVE MICRODIALYSIS; ETHANOL TECHNIQUE; IN-VIVO; HINDLIMB; DIFFUSION; EXERCISE; TISSUE; WATER</t>
  </si>
  <si>
    <t>Theoretical models for the description of microdialysis outflow:inflow (O/I) ratio for (3)H(2)O and [(14)C]ethanol were developed, taking into account the nutritive fraction of total blood flow in muscle. The models yielded an approximately exponential decay expression for the O/I ratio, dependent on the physical dimensions of a linear probe (length and radius), the flow rate through the probe, muscle blood flow (including the nutritive fraction) and the diffusion coefficients for the tracer in the probe and muscle. The models compared favourably with experimental data from the constant-flow perfused rat hindlimb. Estimates of the nutritive fraction of total blood flow from experimental data were determined by minimizing the error between model and experimental data. The nutritive fraction was found to be 0.22 +/- 0.04 under basal perfusion conditions. When 70 nm noradrenaline (norepinephrine) was included in the perfusion medium, the nutritive fraction was 0.91 +/- 0.06 (P &lt; 0.05). The inclusion of 300 nm serotonin, decreased the nutritive fraction to 0.05 +/- 0.01 (P &lt; 0.05). This model can be applied to the determination of nutritive fraction of skeletal muscle blood flow in physiologically relevant microvascular conditions such as during exercise and in disease states.</t>
  </si>
  <si>
    <t>Univ Tasmania, Sch Med, Hobart, Tas 7001, Australia; Univ Tasmania, Tasmanian Partnership Adv Comp, Hobart, Tas 7001, Australia; Australian Antarctic Div, Dept Environm &amp; Heritage, Hobart, Tas 7001, Australia</t>
  </si>
  <si>
    <t>Newman, JMB (corresponding author), Univ Tasmania, Sch Med, Private Bag 58, Hobart, Tas 7001, Australia.</t>
  </si>
  <si>
    <t>j.newman@utas.edu.au</t>
  </si>
  <si>
    <t>Roberts, Jason L/B-2235-2012; Warner, Roland Charles/ISS-2485-2023; Warner, Robert R./M-5342-2013; Rattigan, Stephen/J-7333-2014</t>
  </si>
  <si>
    <t>Roberts, Jason L/0000-0002-3477-4069; Warner, Roland Charles/0000-0002-9778-3544; Rattigan, Stephen/0000-0001-6172-3040</t>
  </si>
  <si>
    <t>0022-3751</t>
  </si>
  <si>
    <t>J PHYSIOL-LONDON</t>
  </si>
  <si>
    <t>J. Physiol.-London</t>
  </si>
  <si>
    <t>10.1113/jphysiol.2003.056531</t>
  </si>
  <si>
    <t>Neurosciences; Physiology</t>
  </si>
  <si>
    <t>Neurosciences &amp; Neurology; Physiology</t>
  </si>
  <si>
    <t>900OT</t>
  </si>
  <si>
    <t>WOS:000227224900015</t>
  </si>
  <si>
    <t>Silva, TAM; Grant, RB</t>
  </si>
  <si>
    <t>Computer-based identification and tracking of Antarctic icebergs in SAR images</t>
  </si>
  <si>
    <t>iceberg tracking; iceberg identification; iceberg flux; SAR; image segmentation</t>
  </si>
  <si>
    <t>SYNTHETIC-APERTURE RADAR; HIERARCHICAL SEGMENTATION; WATERSHED CONTOURS; GEODESIC SALIENCY; MASS-BALANCE; SEA-ICE</t>
  </si>
  <si>
    <t>Icebergs play an important role in climate through the transfer of fresh water and heat between ice sheets and the oceans. Synthetic aperture radar (SAR) images offer a robust way of observing icebergs in the often dark and cloud-covered polar areas. A computer-based technique is proposed to identify icebergs at higher resolution than in the past, allowing the shape of small to medium icebergs to be retained and used for tracking between images acquired at different times. The identification consists of (i) automatic segmentation, followed by (ii) classification of these objects as icebergs or nonicebergs. The classification stage requires user intervention as the icebergs are not always a separable class from other objects, most notably sea ice. The icebergs are then matched between images using their size and shape similarities, and their position tracked. The system performance was assessed by applying the technique to three wintertime ERS-1 PRI images, around Kapp Norvegia (10degreesW), on the Eastern Weddell Sea coast. The results show both the identification and the tracking to be effective. (C) 2004 Elsevier Inc. All rights reserved.</t>
  </si>
  <si>
    <t>Univ Sheffield, Dept Geog, Sheffield S10 2TN, S Yorkshire, England</t>
  </si>
  <si>
    <t>University of Sheffield</t>
  </si>
  <si>
    <t>Silva, TAM (corresponding author), Univ Sheffield, Dept Geog, Winter St, Sheffield S10 2TN, S Yorkshire, England.</t>
  </si>
  <si>
    <t>t.silva@sheffield.ac.uk</t>
  </si>
  <si>
    <t>Silva, Tiago/0000-0002-8316-2376</t>
  </si>
  <si>
    <t>10.1016/j.rse.2004.10.002</t>
  </si>
  <si>
    <t>895RE</t>
  </si>
  <si>
    <t>WOS:000226879900001</t>
  </si>
  <si>
    <t>Evans, DL; Alpers, W; Cazenave, A; Elachi, C; Farr, T; Glackin, D; Holt, B; Jones, L; Liu, WT; McCandless, W; Menard, Y; Moore, R; Njoku, E</t>
  </si>
  <si>
    <t>Seasat - A 25-year legacy of success</t>
  </si>
  <si>
    <t>Seasat; Scanning Multichannel Microwave Radiometer; synthetic aperture radar</t>
  </si>
  <si>
    <t>SYNTHETIC-APERTURE RADAR; MULTICHANNEL MICROWAVE RADIOMETER; A SATELLITE SCATTEROMETER; SHUTTLE IMAGING RADAR; ANTARCTIC ICE-SHEET; OCEAN SURFACE; SOIL-MOISTURE; WIND-SPEED; MESOSCALE VARIABILITY; EASTERN SAHARA</t>
  </si>
  <si>
    <t>Thousands of scientific publications and dozens of textbooks include data from instruments derived from NASA's Seasat. The Seasat mission was launched on June 26, 1978, on an Atlas-Agena rocket from Vandenberg Air Force Base. It was the first Earth-orbiting satellite to carry four complementary microwave experitnents-the Radar Altimeter (ALT) to measure ocean surface topography by measuring spacecraft altitude above the ocean surface; the Seasat-A Satellite Scatterometer (SASS), to measure wind speed and direction over the ocean; the Scanning Multichannel Microwave Radiometer (SMMR) to measure surface wind speed, ocean surface temperature, atmospheric water vapor content, rain rate, and ice coverage; and the Synthetic Aperture Radar (SAR), to image the ocean surface, polar ice caps, and coastal regions. While originally designed for remote sensing of the Earth's oceans, the legacy of Seasat has had a profound impact in many other areas including solid earth science, hydrology, ecology and planetary science.</t>
  </si>
  <si>
    <t>CALTECH, Jet Prop Lab, Pasadena, CA 91109 USA; Univ Hamburg, Inst Meereskunde, D-22529 Hamburg, Germany; Ctr Natl Etud Spatiales, Lab Etudes Geophys &amp; Oceanog Spatiales, F-31401 Toulouse, France; Aerosp Corp, Los Angeles, CA 90009 USA; Univ Cent Florida, Cent Florida Remote Sensing Lab, Orlando, FL 32816 USA; User Syst Enterprises, Denver, CO 80220 USA; Ctr Natl Etud Spatiales, F-31401 Toulouse, France; Univ Kansas, Lawrence, KS 66047 USA</t>
  </si>
  <si>
    <t>California Institute of Technology; National Aeronautics &amp; Space Administration (NASA); NASA Jet Propulsion Laboratory (JPL); University of Hamburg; Universite de Toulouse; Universite Toulouse III - Paul Sabatier; Centre National de la Recherche Scientifique (CNRS); Institut de Recherche pour le Developpement (IRD); Laboratoire d'Etudes en Geophysique et oceanographie spatiales; Aerospace Corporation - USA; State University System of Florida; University of Central Florida; University of Kansas</t>
  </si>
  <si>
    <t>diane.evans@jpl.nasa.gov; alpers@ifm.uni-hamburg.de; anny.casenave@cnes.fr; charles.elachi@jpl.nasa.gov; tom.farr@jpl.nasa.gov; David.L.Glackin@aero.org; ben@pacific.jpl.nasa.gov; ljones@pegasus.cc.ucf.edu; liu@pacifie.jpl.nasa.gov; waltmc@usersystems.com; yves.menard@cnes.fr; rmoore@sunflower.com; eni.njoku@jpl.nasa.gov</t>
  </si>
  <si>
    <t>Farr, Thomas/0000-0001-5406-2096; Jones, W Linwood/0000-0001-8796-4598</t>
  </si>
  <si>
    <t>10.1016/j.rse.2004.09.011</t>
  </si>
  <si>
    <t>WOS:000226879900010</t>
  </si>
  <si>
    <t>Kämpf, J</t>
  </si>
  <si>
    <t>Cascading-driven upwelling in submarine canyons at high latitudes -: art. no. C02007</t>
  </si>
  <si>
    <t>ANTARCTIC BOTTOM WATER; DENSE WATER; ROSS SEA; ICE; CIRCULATION; CONVECTION; CHANNELS; SHALLOW; EXPORT; FLOW</t>
  </si>
  <si>
    <t>[1] Numerical simulations and laboratory experiments confirm my initial research hypothesis stating that dense-water cascading down a submarine canyon induces localized upwelling of deeper water onto the shelf. This process, not described before, is associated with internal deformation radii inherent in the cascading process being less the canyon width and geostrophic adjustment of a density front that establishes along the canyon axis. Since submarine canyons are common to continental margins, this paper has identified a key process triggering the renewal of shelf waters at high latitudes.</t>
  </si>
  <si>
    <t>Flinders Univ S Australia, Sch Chem Phys &amp; Earth Sci, Adelaide, SA 5001, Australia</t>
  </si>
  <si>
    <t>Flinders University South Australia</t>
  </si>
  <si>
    <t>Flinders Univ S Australia, Sch Chem Phys &amp; Earth Sci, GPO Box 2100, Adelaide, SA 5001, Australia.</t>
  </si>
  <si>
    <t>jochen.kaempf@flinders.edu.au</t>
  </si>
  <si>
    <t>Kämpf, Jochen/E-9000-2015</t>
  </si>
  <si>
    <t>Kämpf, Jochen/0000-0002-2811-7257</t>
  </si>
  <si>
    <t>FEB 12</t>
  </si>
  <si>
    <t>C2</t>
  </si>
  <si>
    <t>C02007</t>
  </si>
  <si>
    <t>10.1029/2004JC002554</t>
  </si>
  <si>
    <t>898HE</t>
  </si>
  <si>
    <t>WOS:000227066700002</t>
  </si>
  <si>
    <t>Meredith, MP; Hughes, CW</t>
  </si>
  <si>
    <t>On the sampling timescale required to reliably monitor interannual variability in the Antarctic circumpolar transport</t>
  </si>
  <si>
    <t>DRAKE PASSAGE; EXTRATROPICAL CIRCULATION; ANNULAR MODES</t>
  </si>
  <si>
    <t>Numerous field programs have been conducted with the intention of monitoring the transport variability of the Antarctic Circumpolar Current (ACC). Some programs are ongoing, with further efforts planned. Here we address, for the first time, the sampling frequency required for reliable monitoring of the ACC at interannual periods. We find that, for all practical purposes, sampling with a frequency significantly higher than weekly is required to obtain reliable annual means; coarser sampling leads to serious aliasing and degradation of the true temporal progression of transport. Monitoring changes in the seasonality of the ACC requires even more rapid sampling. In practice, hydrographic sections, repeat XBT sections and even altimetry along a single repeat groundtrack will fail to capture the true interannual variability; instead, in situ instrumentation ( fixed gauges, moorings or bottom lander-based equipment) is required. Combinations of techniques may be useful, if they include data from fixed in situ sources.</t>
  </si>
  <si>
    <t>Proudman Oceanog Lab, Liverpool, Merseyside, England</t>
  </si>
  <si>
    <t>Proudman Oceanog Lab, Liverpool, Merseyside, England.</t>
  </si>
  <si>
    <t>mmm@bas.ac.uk</t>
  </si>
  <si>
    <t>Hughes, Chris/GQP-7479-2022; Hughes, Chris W/A-3791-2010</t>
  </si>
  <si>
    <t>Hughes, Chris W/0000-0002-9355-0233; Meredith, Michael/0000-0002-7342-7756</t>
  </si>
  <si>
    <t>FEB 11</t>
  </si>
  <si>
    <t>L03609</t>
  </si>
  <si>
    <t>10.1029/2004GL022086</t>
  </si>
  <si>
    <t>898GP</t>
  </si>
  <si>
    <t>WOS:000227065000008</t>
  </si>
  <si>
    <t>Gray, L; Joughin, I; Tulaczyk, S; Spikes, VB; Bindschadler, R; Jezek, K</t>
  </si>
  <si>
    <t>Evidence for subglacial water transport in the West Antarctic Ice Sheet through three-dimensional satellite radar interferometry</t>
  </si>
  <si>
    <t>STREAM-C; HYPOTHESIS; VELOCITIES; STAGNATION; ONSET; SHELF; BED</t>
  </si>
  <si>
    <t>RADARSAT data from the 1997 Antarctic Mapping Mission are used interferometrically to solve for the 3-dimensional surface ice motion in the interior of the West Antarctic Ice Sheet ( WAIS). An area of similar to125 km(2) in a tributary of the Kamb Ice Stream slumped vertically downwards by up to similar to50 cm between September 26 and October 18, 1997. Areas in the Bindschadler Ice Stream also exhibited comparable upward and downward surface displacements. As the uplift and subsidence features correspond to sites at which the basal water apparently experiences a hydraulic potential well, we suggest transient movement of pockets of subglacial water as the most likely cause for the vertical surface displacements. These results, and related lidar observations, imply that imaging the change in ice surface elevation can help reveal the key role of water in the difficult-to-observe subglacial environment, and its important influence on ice dynamics.</t>
  </si>
  <si>
    <t>Canada Ctr Remote Sensing, Ottawa, ON K1A OY7, Canada; CALTECH, Jet Prop Lab, Pasadena, CA USA; Univ Calif Santa Cruz, Dept Earth Sci, Santa Cruz, CA 96064 USA; Earth Sci Agcy, Stateline, NV 89449 USA; NASA, Goddard Space Flight Ctr, Hydrol &amp; Biospher Sci Lab, Greenbelt, MD 20771 USA; Ohio State Univ, Byrd Polar Res Ctr, Columbus, OH 43210 USA</t>
  </si>
  <si>
    <t>Natural Resources Canada; Strategic Policy &amp; Results Sector - Natural Resources Canada; Canada Centre for Mapping &amp; Earth Observation (CCMEO); California Institute of Technology; National Aeronautics &amp; Space Administration (NASA); NASA Jet Propulsion Laboratory (JPL); University of California System; University of California Santa Cruz; National Aeronautics &amp; Space Administration (NASA); NASA Goddard Space Flight Center; University System of Ohio; Ohio State University</t>
  </si>
  <si>
    <t>Gray, L (corresponding author), Canada Ctr Remote Sensing, 588 Booth St, Ottawa, ON K1A OY7, Canada.</t>
  </si>
  <si>
    <t>laurence.gray@ccrs.nrcan.gc.ca</t>
  </si>
  <si>
    <t>Joughin, Ian R/A-2998-2008; Joughin, Ian/AAR-7778-2021; Tulaczyk, Slawek/O-7375-2018</t>
  </si>
  <si>
    <t>Joughin, Ian R/0000-0001-6229-679X; Joughin, Ian/0000-0001-6229-679X; Tulaczyk, Slawek/0000-0002-9711-4332</t>
  </si>
  <si>
    <t>FEB 8</t>
  </si>
  <si>
    <t>L03501</t>
  </si>
  <si>
    <t>10.1029/2004GL021387</t>
  </si>
  <si>
    <t>898GM</t>
  </si>
  <si>
    <t>WOS:000227064700002</t>
  </si>
  <si>
    <t>Cosme, E; Hourdin, F; Genthon, C; Martinerie, P</t>
  </si>
  <si>
    <t>Origin of dimethylsulfide, non-sea-salt sulfate, and methanesulfonic acid in eastern Antarctica</t>
  </si>
  <si>
    <t>GENERAL-CIRCULATION MODEL; DURVILLE COASTAL ANTARCTICA; ATMOSPHERIC SULFUR CYCLE; DUMONT DURVILLE; SEASONAL-VARIATIONS; FIELD OBSERVATIONS; MARINE ATMOSPHERE; BOUNDARY-LAYER; CLOUD ALBEDO; ICE-CORE</t>
  </si>
  <si>
    <t>[1] Ignoring the origin of atmospheric chemicals is often a strong limitation to the full interpretation of their measurement. In this article, this question is addressed in the case of the sulfur species in Antarctica, with an original method of retrotransport of tracers. The retrotransport model is derived from the Laboratoire de Meteorologie Dynamique Zoom-Tracers (LMD-ZT) atmospheric general circulation model, optimized for polar climate and expanded to simulate atmospheric sulfur chemistry. For two East Antarctic scientific stations (Dumont d'Urville and Vostok) the effects of transport and chemistry and the influence of oceanic, volcanic, and anthropogenic sources on dimethylsulfide (DMS), non-sea-salt (nss) sulfate, and methanesulfonic acid (MSA) concentrations are evaluated in summer and winter. The oceanic source largely dominates, but other sources can episodically be significant. The meridional origin and the age of DMS, MSA, and biogenic nss sulfate are also estimated. The latitudes of origin of MSA and nss sulfate are similar in summer, but they differ markedly in winter. This is a signature of their different chemical production scheme. Also, the interannual variability of the origin of the sulfur species at Vostok is weak compared to that at Dumont d'Urville. Acknowledging that the DMS concentrations in the ocean have no interannual variability in the model, this result suggests unsurprisingly that inland Antarctic stations may be better observation sites to monitor large-scale DMS bioproductivity variability than coastal sites are. The combination of slower chemistry and more intense atmospheric circulation in winter leads to unexpected results, such as a younger DMS in winter than in summer at Vostok.</t>
  </si>
  <si>
    <t>Meteorol Serv Canada, Dorval, PQ, Canada; Lab Glaciol &amp; Geophys Environm, F-38402 St Martin Dheres, France; Univ Paris 06, CNRS, Meteorol Dynam Lab, Paris, France</t>
  </si>
  <si>
    <t>Environment &amp; Climate Change Canada; Meteorological Service of Canada; Centre National de la Recherche Scientifique (CNRS); Sorbonne Universite</t>
  </si>
  <si>
    <t>McGill Univ, Dept Atmospher &amp; Ocean Sci, Montreal, PQ, Canada.</t>
  </si>
  <si>
    <t>emmanuel.cosme@mail.mcgill.ca</t>
  </si>
  <si>
    <t>Martinerie, Patricia/N-5731-2017</t>
  </si>
  <si>
    <t>Martinerie, Patricia/0000-0002-6820-2296; Cosme, Emmanuel/0000-0001-7349-6973</t>
  </si>
  <si>
    <t>D3</t>
  </si>
  <si>
    <t>D03302</t>
  </si>
  <si>
    <t>10.1029/2004JD004881</t>
  </si>
  <si>
    <t>898GT</t>
  </si>
  <si>
    <t>WOS:000227065400001</t>
  </si>
  <si>
    <t>Lachan-Cope, T</t>
  </si>
  <si>
    <t>Role of sea ice in forcing the winter climate of Antarctica in a global climate model</t>
  </si>
  <si>
    <t>AIR-TEMPERATURE; PENINSULA; CIRCULATION; VARIABILITY; POLYNYA; IMPACT</t>
  </si>
  <si>
    <t>[1] Two different experiments have been conducted using the Hadley Centre's atmosphere-only, global climate model to investigate the role of sea ice in forcing the Antarctic climate during the winter months. The first experiment, carried out by the Met Office Hadley Centre, involved forcing the model with observed sea ice concentration from the HadISST1 data set for the period 1870 - 1999 and showed that the observed temperature at Faraday/Vernadsky station ( on the west coast of the Antarctic Peninsula) was well reproduced ( correlation coefficient of 0.872) for the period 1973 - 1999, while at stations around the rest of the continent the observed temperature was not so highly correlated with the modeled temperature. The second experiment used two different yearly repeating sea ice concentrations, one being the average for the period 1975 - 1979 and the second the average for 1995 - 1999. The later period has generally less sea ice. This second experiment showed that the climate response to the sea ice forcing in the Amundsen Bellingshausen Sea was confined to the layers closest to the surface, while the response around the rest of Antarctica, where the katabatic wind flowing off the continent plays a role in the process, is over a much deeper layer of the atmosphere. It is also suggested that the katabatic flow may play a role in making the sea ice around East Antarctica insensitive to external climate forcing.</t>
  </si>
  <si>
    <t>tlc@pemail.nerc-bas.ac.uk</t>
  </si>
  <si>
    <t>FEB 5</t>
  </si>
  <si>
    <t>D03110</t>
  </si>
  <si>
    <t>10.1029/2004jd004935</t>
  </si>
  <si>
    <t>895YU</t>
  </si>
  <si>
    <t>WOS:000226901800001</t>
  </si>
  <si>
    <t>Eagles, G; Livermore, RA; Fairhead, JD; Morris, P</t>
  </si>
  <si>
    <t>Tectonic evolution of the west Scotia Sea</t>
  </si>
  <si>
    <t>SOUTHERNMOST SOUTH-AMERICA; TIERRA-DEL-FUEGO; DRAKE PASSAGE; ANTARCTIC PENINSULA; SPREADING CENTER; PLATE-TECTONICS; SATELLITE ALTIMETRY; FINITE ROTATIONS; FALKLAND PLATEAU; FRACTURE-ZONES</t>
  </si>
  <si>
    <t>[1] Joint inversion of isochron and flow line data from the flanks of the extinct West Scotia Ridge spreading center yields five reconstruction rotations for times between the inception of spreading prior to chron C8 (26.5 Ma), and extinction around chron C3A (6.6-5.9 Ma). When they are placed in a regional plate circuit, the rotations predict plate motions consistent with known tectonic events at the margins of the Scotia Sea: Oligocene extension in Powell Basin; Miocene convergence in Tierra del Fuego and at the North Scotia Ridge; and Miocene transpression at the Shackleton Fracture Zone. The inversion results are consistent with a spreading history involving only two plates, at rates similar to those between the enclosing South America and Antarctica plates after chron C5C (16.7 Ma), but that were faster beforehand. The spreading rate drop accompanies inception of the East Scotia Ridge back-arc spreading center, which may therefore have assumed the role of the West Scotia Ridge in accommodating eastward motion of the trench at the eastern boundary of the Scotia Sea. This interpretation is most easily incorporated into a model in which the basins in the central parts of the Scotia Sea had already formed by chron C8, contrary to some widely accepted interpretations, and which has significant implications for paleoceanography and paleobiogeography.</t>
  </si>
  <si>
    <t>Univ Leeds, GeTECH, Leeds LS2 9JT, W Yorkshire, England; Alfred Wegener Inst Polar &amp; Marine Res, D-27568 Bremerhaven, Germany; British Antarctic Survey, Cambridge CB3 0ET, England</t>
  </si>
  <si>
    <t>University of Leeds; Helmholtz Association; Alfred Wegener Institute, Helmholtz Centre for Polar &amp; Marine Research; UK Research &amp; Innovation (UKRI); Natural Environment Research Council (NERC); NERC British Antarctic Survey</t>
  </si>
  <si>
    <t>Univ Leeds, GeTECH, Leeds LS2 9JT, W Yorkshire, England.</t>
  </si>
  <si>
    <t>geagles@awi-bremerhaven.de; ral@bas.ac.uk; jdf@getech.leeds.ac.uk; pmor@bas.ac.uk</t>
  </si>
  <si>
    <t>Livermore, Roy/M-1566-2019</t>
  </si>
  <si>
    <t>Eagles, Graeme/0000-0001-5325-0810</t>
  </si>
  <si>
    <t>FEB 2</t>
  </si>
  <si>
    <t>B2</t>
  </si>
  <si>
    <t>B02401</t>
  </si>
  <si>
    <t>10.1029/2004JB003154</t>
  </si>
  <si>
    <t>895ZE</t>
  </si>
  <si>
    <t>WOS:000226902900002</t>
  </si>
  <si>
    <t>Ellery, A; Ball, AJ; Cockell, C; Dickensheets, D; Edwards, H; Kolb, C; Lammer, H; Patel, M; Richter, L</t>
  </si>
  <si>
    <t>Vanguard - a European robotic astrobiology-focussed Mars sub-surface mission proposal</t>
  </si>
  <si>
    <t>LIFE; EXPLORATION; SOIL</t>
  </si>
  <si>
    <t>We present a new European Mars mission proposal to build on the UK-led Beagle2 Mars mission and continue its astrobiology-focussed investigation of Mars. The small surface element to be delivered to the Martian surface-Vanguard-is designed to be carried by a Mars Express-type spacecraft bus to Mars and adopts a similar entry, descent and landing system as Beagle2. The surface element comprises a triad of robotic devices-a lander, a micro-rover of the Sojourner class for surface mobility, and three ground-penetrating moles mounted onto the rover for sub-surface penetration to 5 m depth. The major onboard instruments on the rover include a Raman spectrometer/imager, a laser plasma spectrometer, an infrared spectrometer-these laser instruments provide the basis for in situ remote sensing of the sub-surface Martian environment within a powerful scientific package. The moles carry the instruments' sensor head array to the sub-surface. The moles are thus required to undergo a one-way trip down the boreholes without the need for recovery of moles or samples, eliminating much of the robotic complexity invoked by such operations. (C) 2004 Elsevier Ltd. All rights reserved.</t>
  </si>
  <si>
    <t>Kingston Univ, Sch Engn, Astronaut &amp; Space Syst Grp, London SW15 5PN, England; Open Univ, Planetary &amp; Space Res Inst, Milton Keynes MK7 6AA, Bucks, England; British Antarctic Survey, Cambridge CB3 0ET, England; Montana State Univ, Dept Elect &amp; Comp Engn, Bozeman, MT 59717 USA; Univ Bradford, Dept Chem &amp; Forens Sci, Bradford BD7 1DP, W Yorkshire, England; Inst Weltraumforsch, Osterreich Akad Wissensch, A-8042 Graz, Austria; Deutsch Zentrum Luft &amp; Raumfahrt, Inst Space Simulat, D-51147 Cologne, Germany</t>
  </si>
  <si>
    <t>Kingston University; Open University - UK; UK Research &amp; Innovation (UKRI); Natural Environment Research Council (NERC); NERC British Antarctic Survey; Montana State University System; Montana State University Bozeman; University of Bradford; Austrian Academy of Sciences; Helmholtz Association; German Aerospace Centre (DLR)</t>
  </si>
  <si>
    <t>Ellery, A (corresponding author), Kingston Univ, Sch Engn, Astronaut &amp; Space Syst Grp, Friars Ave,Roehampton Vale, London SW15 5PN, England.</t>
  </si>
  <si>
    <t>a.ellery@eim.surrey.ac.uk; A.J.Ball@open.ac.uk; csco@bas.ac.uk; davidd@ee.montana.edu; h.g.m.edwards@Bradford.ac.uk; christoph.kolb@oeaw.ac.at; Helmut.Lammer@oeaw.ac.at; lutz.richter@dlr.de</t>
  </si>
  <si>
    <t>Lammer, Helmut/HLX-0853-2023; Ball, Andrew/B-6747-2009</t>
  </si>
  <si>
    <t>Ball, Andrew/0000-0003-1593-3279</t>
  </si>
  <si>
    <t>FEB</t>
  </si>
  <si>
    <t>10.1016/j.actaastro.2004.05.069</t>
  </si>
  <si>
    <t>880IR</t>
  </si>
  <si>
    <t>WOS:000225782800006</t>
  </si>
  <si>
    <t>Papanikolau, Y; Tsigos, I; Papadovasilaki, M; Bouriotis, V; Petratos, K</t>
  </si>
  <si>
    <t>Crystallization and preliminary X-ray diffraction studies of an alcohol dehydrogenase from the Antarctic psychrophile Moraxella sp TAE123</t>
  </si>
  <si>
    <t>CRYSTAL-STRUCTURE; ADHS</t>
  </si>
  <si>
    <t>An NAD(+)-dependent psychrophilic alcohol dehydrogenase ( ADH) from the Antarctic psychrophile Moraxella sp. TAE123 has been purified to homogeneity. The enzyme consists of four identical subunits, each containing two Zn ions. Protein crystals suitable for X-ray diffraction were obtained under optimized salting-out crystallization conditions using ammonium sulfate as a precipitating agent. The crystals are hexagonal bipyramids and belong to space group P3(1)21 or P3(2)21, with unit-cell parameters a = 136.4, c = 210.7 angstrom. They contain one protein homotetramer in the asymmetric unit. Diffraction data were collected to 2.2 angstrom under cryogenic conditions using synchrotron radiation.</t>
  </si>
  <si>
    <t>FORTH, Inst Mol Biol &amp; Biotechnol, Iraklion 71110, Greece; Gen Chem State Lab, Dept Heraklion, Iraklion, Greece; Univ Crete, Dept Biol, Iraklion 71409, Greece</t>
  </si>
  <si>
    <t>Foundation for Research &amp; Technology - Hellas (FORTH); University of Crete</t>
  </si>
  <si>
    <t>FORTH, Inst Mol Biol &amp; Biotechnol, POB 1527, Iraklion 71110, Greece.</t>
  </si>
  <si>
    <t>petratos@imbb.forth.gr</t>
  </si>
  <si>
    <t>Petratos, Kyriacos/AAV-9957-2021</t>
  </si>
  <si>
    <t>Petratos, Kyriacos/0000-0003-0876-1835</t>
  </si>
  <si>
    <t>10.1107/S1744309105002253</t>
  </si>
  <si>
    <t>969YM</t>
  </si>
  <si>
    <t>WOS:000232271900025</t>
  </si>
  <si>
    <t>Szaniawski, H</t>
  </si>
  <si>
    <t>Cambrian chaetognaths recognized in Burgess Shale Fossils</t>
  </si>
  <si>
    <t>ACTA PALAEONTOLOGICA POLONICA</t>
  </si>
  <si>
    <t>chaetognatha; Oesia; soft-bodied fossils; protoconodonts; Cambrian; Burgess Shale; Canada</t>
  </si>
  <si>
    <t>GRASPING SPINES; ANTARCTIC WATERS; RIBOSOMAL DNA; PRESERVATION; TAPHONOMY; EVOLUTION; GENUS; WORM</t>
  </si>
  <si>
    <t>Oesia disjuncta, one of the species of the soft-bodied fauna collected and described by Walcott (1911) from the Middle Cambrian Phyllopod Bed (Burgess Shale, British Columbia, Canada) is recognized as a chaetognath. For anatomical comparisons many specimens of Recent chaetognaths were specially compressed and dried to obtain forms similar to the fossils preserved in shales. The most characteristic features shared by the fossil and Recent specimens include: strongly elongated, transversely striated and very flexible body, large size, and characteristically diversified shape of head, pronounced intestine and horizontally oriented caudal fin. Possible traces of other chaetognath structures - grasping apparatus, lateral fins, seminal vesicles, ventral ganglion, ovaries and anus - are also present but preserved in one specimen only. Among extant genera, those showing the closest similarity to Oesia Walcott, 1911 are the hyperbenthic Archeterokrohnia Casanova, 1986(1), and Heterokrohnia Ritter-Zahony, 1911, which are considered by some authors as evolutionarily most primitive.</t>
  </si>
  <si>
    <t>Polish Acad Sci, Inst Paleobiol, PL-00818 Warsaw, Poland</t>
  </si>
  <si>
    <t>Polish Academy of Sciences; Institute of Paleobiology of the Polish Academy of Sciences</t>
  </si>
  <si>
    <t>Szaniawski, H (corresponding author), Polish Acad Sci, Inst Paleobiol, Ul Twarda 51-55, PL-00818 Warsaw, Poland.</t>
  </si>
  <si>
    <t>szaniaw@twarda.pan.pl</t>
  </si>
  <si>
    <t>INST PALEOBIOLOGII PAN</t>
  </si>
  <si>
    <t>WARSAW</t>
  </si>
  <si>
    <t>UL TWARDA 51/55, 00-818 WARSAW, POLAND</t>
  </si>
  <si>
    <t>0567-7920</t>
  </si>
  <si>
    <t>1732-2421</t>
  </si>
  <si>
    <t>ACTA PALAEONTOL POL</t>
  </si>
  <si>
    <t>Acta Palaeontol. Pol.</t>
  </si>
  <si>
    <t>901VS</t>
  </si>
  <si>
    <t>WOS:000227310900001</t>
  </si>
  <si>
    <t>Siwek, M; Galunsky, B; Niemeyer, B</t>
  </si>
  <si>
    <t>Isolation of selenium organic species from antarctic krill after enzymatic hydrolysis</t>
  </si>
  <si>
    <t>antarctic krill; enzymatic digestion; HPLC-ICP-MS; selenium organic compounds; size-exclusion chromatography</t>
  </si>
  <si>
    <t>INDUCTIVELY-COUPLED PLASMA; PERFORMANCE LIQUID-CHROMATOGRAPHY; MASS-SPECTROMETRY; BIOLOGICAL-MATERIALS; SPECIATION; EXTRACTS; YEAST; WATER; FISH; MS</t>
  </si>
  <si>
    <t>Total selenium content and its distribution in the soluble and insoluble protein-bound fractions obtained after aqueous extraction of antarctic krill samples were determined. About 26% of the total selenium (2.4 mu g g(-1) dry weight) was found in the supernatant; the rest was in the pellet. Isolation of low molecular selenium-containing fractions was also performed by enzymatic digestion of the protein, followed by size-exclusion chromatography in conjunction with atomic absorption spectrometry. From the applied various proteinases (pronase E, subtilisin Carlsberg, trypsin, chymotrypsin, proteinase and proteinase N from Bacillus subtilis and Novo 0.6 MPX enzyme), the treatment with pronase E led to best recovery of selenium. About 96% of the total Se was found in the hydrolysate, mainly in low molecular weight fractions. Eighty percent of the Se species were in fractions with molecular weights in the range of amino acids and short peptides. High-performance liquid chromatography/inductively coupled plasma mass spectrometry (HPLC-ICP-MS) allowed the identification of selenomethionine and the assumption that selenocystine or its derivatives were the main species in these fractions.</t>
  </si>
  <si>
    <t>Tech Univ Hamburg, Inst Biotechnol 2, D-21071 Hamburg, Germany; GKSS Forschungszentrum Geesthacht GmbH, Inst Coastal Res, D-21502 Geesthacht, Germany; Helmut Schmidt Univ, Univ Fed Armed Forces Hamburg, Inst Thermodynam, D-22043 Hamburg, Germany</t>
  </si>
  <si>
    <t>Hamburg University of Technology; Helmholtz Association; Helmholtz-Zentrum Hereon; Helmut Schmidt University</t>
  </si>
  <si>
    <t>Siwek, M (corresponding author), Tech Univ Hamburg, Inst Biotechnol 2, Denickestr 15, D-21071 Hamburg, Germany.</t>
  </si>
  <si>
    <t>m.siwek@tuhh.de</t>
  </si>
  <si>
    <t>10.1007/s00216-004-2936-z</t>
  </si>
  <si>
    <t>907EE</t>
  </si>
  <si>
    <t>WOS:000227697400027</t>
  </si>
  <si>
    <t>Yada, T; Norizawa, K; Tani, A; Ikeya, M</t>
  </si>
  <si>
    <t>Nitrogen dioxide (NO2) created by γ-rays in Antarctic ice and rime ice</t>
  </si>
  <si>
    <t>6th International Symposium on ESR Dosimetry and Applications</t>
  </si>
  <si>
    <t>OCT 12-16, 2003</t>
  </si>
  <si>
    <t>Campos do Jordao, BRAZIL</t>
  </si>
  <si>
    <t>nitrogen dioxide; NO2; Antarctic ice; rime ice; Radiolysis; gamma-rays; ESR</t>
  </si>
  <si>
    <t>Antarctic ice and rime ice after T-irradiation at 77 K were studied by electron spin resonance (ESR). The signal of nitrogen dioxide (NO2) was detected in both ices. The NO2 in the Antarctic ice, in particular, may be created from NO3- by reactions associated with intrinsic OH radicals. The detection limit of NO2 in solid samples was estimated to be similar to0.02 ppm with ESR. The analysis using ESR, in natural ice has a potential to trace environmental NO2. (C) 2004 Elsevier Ltd. All rights reserved.</t>
  </si>
  <si>
    <t>Osaka Univ, Grad Sch Sci, Dept Earth &amp; Space Sci, Toyonaka, Osaka 5600043, Japan</t>
  </si>
  <si>
    <t>Osaka University</t>
  </si>
  <si>
    <t>Osaka Univ, Grad Sch Sci, Dept Earth &amp; Space Sci, 1-1 Machikaneyama, Toyonaka, Osaka 5600043, Japan.</t>
  </si>
  <si>
    <t>Tani, Atsushi/A-9798-2008</t>
  </si>
  <si>
    <t>Tani, Atsushi/0000-0001-5788-2137</t>
  </si>
  <si>
    <t>10.1016/j.apradiso.2004.08.037</t>
  </si>
  <si>
    <t>889OZ</t>
  </si>
  <si>
    <t>WOS:000226453600023</t>
  </si>
  <si>
    <t>Carey, SK; Woo, MK</t>
  </si>
  <si>
    <t>Freezing of subarctic hillslopes, Wolf Creek basin, Yukon, Canada</t>
  </si>
  <si>
    <t>LAND-SURFACE SCHEME; SOIL-TEMPERATURE; WATER-BALANCE; CLIMATIC VARIABLES; AIR TEMPERATURE; HEAT-TRANSPORT; MODEL; THAW; VARIABILITY; PERMAFROST</t>
  </si>
  <si>
    <t>Freezing processes were monitored at five sites within the Wolf Creek basin, Yukon, Canada during the winter of 1998-1999. Ground temperatures were measured using thermocouples in hillslopes that had frost status ranging from permanent to seasonal. The timing of freezing and ground thermal regimes varied among the five sites and was controlled by (1) the variation in surface soil temperature, (2) frost status (seasonal vs. permanent), (3) moisture content of the active layer, (4) properties of the soil profile, and (5) the presence/absence of subsurface drainage. On slopes with permafrost, cooling was rapid and two-sided freezing closed the active layer several months after the onset of freezing. On a slope with seasonal frost only, dry soil conditions allowed frost to penetrate to depth. In contrast, a slope with seasonal frost that had continuous drainage, frost depths were shallow due to heat advected from flowing water. A simple one-dimensional conduction model with latent heat was used to simulate freezing processes. Model performance varied among the slopes, and results indicate that (1) conduction is the predominant heat transfer mechanism during freezing, (2) latent heat is the principal factor controlling frost front descent, and (3) lateral flow significantly retards frost penetration because of heat advection. This information is valuable in assessing spatial variability within tile-based models and in predicting freezing, which defines an effective end-of-season on lateral hydrological processes.</t>
  </si>
  <si>
    <t>Carleton Univ, Dept Geog &amp; Environm Studies, Ottawa, ON K1S 5B6, Canada; McMaster Univ, Sch Geog &amp; Geol, Hamilton, ON L8S 4K1, Canada</t>
  </si>
  <si>
    <t>Carleton University; McMaster University</t>
  </si>
  <si>
    <t>Carey, SK (corresponding author), Carleton Univ, Dept Geog &amp; Environm Studies, Ottawa, ON K1S 5B6, Canada.</t>
  </si>
  <si>
    <t>sean_carey@carleton.ca</t>
  </si>
  <si>
    <t>10.1657/1523-0430(2005)037[0001:FOSHWC]2.0.CO;2</t>
  </si>
  <si>
    <t>925KH</t>
  </si>
  <si>
    <t>WOS:000229051500001</t>
  </si>
  <si>
    <t>Taulavuori, K; Taulavuori, E; Laine, K</t>
  </si>
  <si>
    <t>Ultraviolet radiation and plant frost hardiness in the subarctic</t>
  </si>
  <si>
    <t>UV-B RADIATION; BILBERRY VACCINIUM MYRTILLUS; LONG-TERM; DESICCATION TOLERANCE; PINUS-TAEDA; GLUTATHIONE; POPULUS; NEEDLES; TEMPERATURE; GREENHOUSE</t>
  </si>
  <si>
    <t>The effects of ultraviolet radiation on plant frost hardiness were studied at two subarctic experimental sites, namely Abisko (northern Sweden, 68 degrees N) and Sodankyla (northern Finland, 67 degrees N). The Abisko treatment mimicked 15% ozone depletion and had been running for 7 yr. The investigated plant species was bilberry (Vaccinium myrtillus L.). The Sodankyla treatment consisted of lingonberry (V. vitis-idaea) and seedlings of mountain birch (Betula pubescens ssp. czerepanovii), which were exposed to both elevated UV-B and UV-A radiation in a modulated system corresponding to about 20% loss of the ozone layer. The frost hardiness tests in the Sodankyla experiment were carried out after UV exposure for one growing season. The frost hardiness of bilberry in Abisko was marginally decreased as a consequence of elevated UV-B exposure similarly to the frost hardiness of lingonberry and mountain birch in the Sodankyla experiment in August. The work provides evidence for rather than against a reducing effect of ultraviolet radiation on plant frost hardiness. The results suggest that elevated UV-A radiation probably reduces plant frost hardiness more efficiently than UV-B radiation.</t>
  </si>
  <si>
    <t>Univ Oulu, Dept Biol, FIN-90014 Oulu, Finland</t>
  </si>
  <si>
    <t>University of Oulu</t>
  </si>
  <si>
    <t>Univ Oulu, Dept Biol, POB 3000, FIN-90014 Oulu, Finland.</t>
  </si>
  <si>
    <t>kari.taulavuori@oulu.fi</t>
  </si>
  <si>
    <t>10.1657/1523-0430(2005)037[0011:URAPFH]2.0.CO;2</t>
  </si>
  <si>
    <t>WOS:000229051500002</t>
  </si>
  <si>
    <t>Daily weather and tree growth at the tropical treeline of North America</t>
  </si>
  <si>
    <t>HIGH-ALTITUDE; PRECIPITATION; MEXICO; VARIABILITY; INCREMENT; MONSOON</t>
  </si>
  <si>
    <t>We present here the 2001-2004 results of observational field studies aimed at quantifying tropical timberline climate and radial increment of Pinus hartwegii Lindl. trees on Nevado de Colima, in the middle of the North American Monsoon region. An automated weather station was installed at 3760 m a.s.l., 19 degrees 34.778'N latitude, 103 degrees 37.180'W longitude, within a forest where multi-century tree-ring records had been previously developed. At the same time, automated electronic sensors for recording tree growth at 30-min intervals were set up at two sites within a 1-km radius from the weather station. Meteorological observations recorded every 30 min were summarized on a daily basis. Time-series patterns are reported for atmospheric pressure, precipitation, incoming solar radiation, air and soil temperature, relative humidity, soil moisture, and wind speed and direction. Of particular interest is the sudden decrease in air temperature after the onset of the monsoon season, which determines very high relative humidity over the summer and results in air temperature having a spring maximum. Despite sub-freezing air temperatures in most months, soil temperatures never drop below 0 degrees C. Dendrometer data show that the timberline growing season begins in March-April as temperature increases, then radial growth continues throughout the cool-wet summer monsoon, and ends in October-November. As an unexpected result, it was also possible to measure the progressive decline of Pinus hartwegii stem increment in response to an outbreak of roundheaded pine beetle (Dendroctonus adjunctus Blandford), which ultimately killed most trees at one of our two experimental sites.</t>
  </si>
  <si>
    <t>Univ Nevada, Dept Geog, DendroLab, Reno, NV 89557 USA; Univ Nevada, Hydrol Sci Grad Program, Reno, NV 89557 USA; Univ Colima, Colima 28045, Mexico</t>
  </si>
  <si>
    <t>Nevada System of Higher Education (NSHE); University of Nevada Reno; Nevada System of Higher Education (NSHE); University of Nevada Reno; Universidad de Colima</t>
  </si>
  <si>
    <t>Univ Nevada, Dept Geog, DendroLab, MS 154, Reno, NV 89557 USA.</t>
  </si>
  <si>
    <t>fbiondi@unr.edu</t>
  </si>
  <si>
    <t>Biondi, Franco/G-2536-2010; Hartsough, Peter C./B-6104-2008</t>
  </si>
  <si>
    <t>Biondi, Franco/0000-0003-0651-104X; Hartsough, Peter/0000-0001-7888-8028</t>
  </si>
  <si>
    <t>10.1657/1523-0430(2005)037[0016:DWATGA]2.0.CO;2</t>
  </si>
  <si>
    <t>WOS:000229051500003</t>
  </si>
  <si>
    <t>Riedel, SM; Epstein, HE; Walker, DA; Richardson, DL; Calef, MP; Edwards, E; Moody, A</t>
  </si>
  <si>
    <t>Spatial and temporal heterogeneity of vegetation properties among four tundra plant communities at Ivotuk, Alaska, USA</t>
  </si>
  <si>
    <t>ARCTIC TUNDRA; RIVERSIDE TOPOSEQUENCE; SPECIES COMPOSITION; BIOMASS; GROWTH; CARBON; SOILS; ECOSYSTEMS; RESPONSES; TRANSECT</t>
  </si>
  <si>
    <t>Intraseasonal patterns of normalized difference vegetation index (NDVI), leaf area index (LAI), and phytomass were compared for four tundra vegetation types at Ivotuk, Alaska, during summer 1999. The vegetation types included moist acidic tundra (MAT), moist nonacidie tundra (MNT), mossy tussock tundra, and shrub tundra. The seasonal curves of NDVI were similar among the vegetation types but with varying magnitudes of the peak values. Peak NDVI in the shrub tundra (0.83) was significantly greater than in MAT (0.76), which was significantly greater than in MNT (0.71) and mossy tussock tundra (0.70). LAI and phytomass exhibited high temporal variability with distinct seasonality only in shrub tundra. Seasonal LAI and NDVI patterns were therefore correlated only in shrub tundra, which was attributed to the high quantity of deciduous shrub foliage present in this community and absent in the other vegetation types. Shrub tundra peak live above-ground phytomass (1256 +/- 123 g m(-2)) was significantly greater than peak live above-ground phytomass for MAT, MNT, and mossy tussock tundra (722 +/- 71, 773 +/- 53, 703 +/- 39 g m(-2) respectively, P &lt; 0.05). Relative abundances of deciduous shrubs, mosses, and graminoids were revealed as key components controlling differences in NDVI, LAI, and phytomass among tundra vegetation types.</t>
  </si>
  <si>
    <t>Univ Virginia, Dept Environm Sci, Charlottesville, VA 22904 USA; Univ Alaska, Inst Arctic Biol, Fairbanks, AK 99775 USA</t>
  </si>
  <si>
    <t>University of Virginia; University of Alaska System; University of Alaska Fairbanks</t>
  </si>
  <si>
    <t>Univ Virginia, Dept Environm Sci, Clark Hall, Charlottesville, VA 22904 USA.</t>
  </si>
  <si>
    <t>hee2b@virginia.edu</t>
  </si>
  <si>
    <t>Calef, Monika P./AAP-7285-2020</t>
  </si>
  <si>
    <t>Walker, Donald/0000-0001-9581-7811</t>
  </si>
  <si>
    <t>10.1657/1523-0430(2005)037[0025:SATHOV]2.0.CO;2</t>
  </si>
  <si>
    <t>WOS:000229051500004</t>
  </si>
  <si>
    <t>Seki, T; Kajimoto, T; Sugita, H; Daimaru, H; Ikeda, S; Okamoto, T</t>
  </si>
  <si>
    <t>Mechanical damage on Abies mariesii trees buried below the snowpack</t>
  </si>
  <si>
    <t>TIMBERLINE CONIFERS; NORTHERN QUEBEC; MT.-YUMORI; JAPAN; WIND; ESTABLISHMENT; DESICCATION; MORTALITY; DYNAMICS; TREELINE</t>
  </si>
  <si>
    <t>On a gentle leeward slope in a snowy forest limit in northern Honshu Island, Japan, mechanical damage by snow settlement and creep on Abies mariesii trees buried below the snowpack was examined to detect signs of the snow-damage effect on future survival and crown development. Damage types were recorded based on direct observation of crowns in 1996, a year of high snow accumulation exceeding 4.5 m, and 1997, a year of moderate snow accumulation. Of 153 trees examined, 63% were damaged in 1996 and 15% were damaged in 1997. The most destructive damage type was breakage of stems ≥ 5 cm in diameter, which occurred on eight trees in 1996 and three in 1997, resulting in foliage loss and death of some trees. The prevalent damage type was branch tearing, at branch-stem junctions primarily within a height range of 4-6 In, which occurred on 171 branches in 1996 and 5 in 1997. Under snowy and windy conditions, stem breakage and branch tearing, caused by forces active within restricted layers of the snowpack, may reduce the future survival and crown development of A. mariesii buried below the snowpack in years of heavy snowfall.</t>
  </si>
  <si>
    <t>Forestry &amp; Forest Prod Res Inst, Tohoku Res Ctr, Morioka, Iwate 0200123, Japan; Forestry &amp; Forest Prod Res Inst, Kyushu Res Ctr, Kumamoto 8600862, Japan; Forestry &amp; Forest Prod Res Inst, Tsukuba, Ibaraki 3058687, Japan</t>
  </si>
  <si>
    <t>Forestry &amp; Forest Products Research Institute - Japan; Forestry &amp; Forest Products Research Institute - Japan; Forestry &amp; Forest Products Research Institute - Japan</t>
  </si>
  <si>
    <t>Seki, T (corresponding author), Forestry &amp; Forest Prod Res Inst, Tohoku Res Ctr, Nabeyashiki 92-25, Morioka, Iwate 0200123, Japan.</t>
  </si>
  <si>
    <t>sekitak@ffpri.affrc.go.jp</t>
  </si>
  <si>
    <t>10.1657/1523-0430(2005)037[0034:MDOAMT]2.0.CO;2</t>
  </si>
  <si>
    <t>WOS:000229051500005</t>
  </si>
  <si>
    <t>Zoller, H; Lenzin, H; Rusterholz, HP; Stöcklin, J</t>
  </si>
  <si>
    <t>Increasing population density and seed production with altitude in Eritrichium nanum (Boraginaceae) -: An arctic alpine obligatory seeder</t>
  </si>
  <si>
    <t>PLANTS; VEGETATION; SIZE; REPRODUCTION; POLLINATION; DISPERSAL; GROWTH</t>
  </si>
  <si>
    <t>At 17 sites in the European Alps (2170-3310 m), the population density and seed production of the high alpine cushion plant Eritrichium nanum were investigated. Recruitment in this non-clonal species relies exclusively on seeds. The population density rose significantly with increasing altitude. A mean number of 368 seeds per m2 was observed. Whereas the quantity of the generative rosettes (metamers) was relatively constant, the annual seed production strongly varied and was found vulnerable, particularly in 1996, when it was suppressed by unfavorable weather conditions. In 1997 seed production again reached the usual level, when about the same amounts of seeds were recorded as in previous years, indicating the strong resistance of elevated E. nanum populations against the severe climate at high altitudes. With rising population density, E. nanum produces distinctly higher seed numbers. This increasing amount of seeds seems essential for the persistence of its uppermost populations. Our results indicate that it is caused by the rising number of rosettes/ surface and not a higher reproduction by single rosettes. Compared to other alpine species, the seed weight of E. nanum (average 0.76 mg) is high. Most of its neighboring species are clonal, producing much lighter seeds. The strategy of producing heavy seeds favors successful recruitment and appears to be decisive for an obligatory seeder such as E. nanum.</t>
  </si>
  <si>
    <t>Univ Basel, Inst Bot, CH-4056 Basel, Switzerland; NLU Inst, CH-4056 Basel, Switzerland</t>
  </si>
  <si>
    <t>University of Basel</t>
  </si>
  <si>
    <t>Univ Basel, Inst Bot, Schonbeinstr 6, CH-4056 Basel, Switzerland.</t>
  </si>
  <si>
    <t>heinrich.zoller@bluewin.ch; heiner.lenzin@unibas.ch; hans-peter.rusterholz@unibas.ch; juerg.stoecklin@unibas.ch</t>
  </si>
  <si>
    <t>Stöcklin, Jürg/F-5029-2012</t>
  </si>
  <si>
    <t>10.1657/1523-0430(2005)037[0041:IPDASP]2.0.CO;2</t>
  </si>
  <si>
    <t>WOS:000229051500006</t>
  </si>
  <si>
    <t>Zuidhoff, FS; Kolstrup, E</t>
  </si>
  <si>
    <t>Palsa development and associated vegetation in northern Sweden</t>
  </si>
  <si>
    <t>PERMAFROST DYNAMICS; CYCLIC DEVELOPMENT; SOUTHERN NORWAY; CANADA; SNOW; LAIVADALEN; DOVREFJELL; PEATLANDS; PATTERNS; MOUNDS</t>
  </si>
  <si>
    <t>Palsas in all stages of growth and decay were investigated for vegetation, snow depth, and thaw depth in summer in four bogs in northern Sweden. A field classification of successive palsa stages was developed based on palsa vegetation composition and morphology. The initial phase of the aggrading stage is characterized by low mound forms and vegetation with the same hydrophilous composition as in the bog, but somewhat dried out. In the stage of continued aggradation Betula nana colonizes from the surroundings and hydrophilous vegetation is poorly represented in the higher parts even though the mounds are still low. Stable palsas, which are usually the tallest mounds, have vegetation that tolerates drier conditions; Empetrum hermaphroditum is the vascular species with the highest coverage at this stage. Decay starts with block erosion and melting of the mound forms. Degrading palsas have taller shrub vegetation that causes significantly thicker snow reducing heat loss from the core in winter. Conversely, the shrub vegetation has a dampening effect on penetration of heat into the mounds in summer. The degraded stage bears no morphological resemblance to the mounds, but at this stage there is a higher diversity of species owing to additional moist and wet growing sites.</t>
  </si>
  <si>
    <t>Uppsala Univ, Dept Earth Sci, S-75236 Uppsala, Sweden</t>
  </si>
  <si>
    <t>Uppsala University</t>
  </si>
  <si>
    <t>Hof Toekomst 48, NL-3823 HX Amersfoort, Netherlands.</t>
  </si>
  <si>
    <t>f.zuidhoff@archeologie.nl</t>
  </si>
  <si>
    <t>10.1657/1523-0430(2005)037[0049:PDAAVI]2.0.CO;2</t>
  </si>
  <si>
    <t>WOS:000229051500007</t>
  </si>
  <si>
    <t>Eugster, W; McFadden, JP; Chapin, FS</t>
  </si>
  <si>
    <t>Differences in surface roughness, energy, and CO2 fluxes in two moist tundra vegetation types, Kuparuk watershed, Alaska, USA</t>
  </si>
  <si>
    <t>GROSS PRIMARY PRODUCTION; LAND-COVER MAP; ARCTIC TUNDRA; NORTHERN ALASKA; ECOSYSTEMS; EXCHANGE; RESPIRATION; BALANCE; MODEL</t>
  </si>
  <si>
    <t>Roughly 70% of the tundra north of the Brooks Range, Alaska, can be classified as moist nonacidic (39%) and moist acidic tundra (31%). We investigated the differences in energy partitioning and carbon balance among these two important landscape types. Despite structural differences in plant growth forms, moss cover, and soil pH, the sensible and latent heat fluxes were quite similar. However, aerodynamic properties (i.e. roughness length), ground heat flux, and CO2 flux were significantly different: aerodynamic roughness of moist acidic tundra was 2.1 times higher than, and ground heat flux was 36% lower than the values obtained from moist nonacidic tundra. Daily carbon balance showed 26% more net CO2 uptake (with 34% greater ecosystem respiration and 30% greater gross primary production) in moist acidic tundra. The greater respiration rate in moist acidic tundra was explained by differences in surface soil temperatures, whereas the rate of gross primary production was only half of what was expected from observed differences in leaf area index. These differences suggest that understanding the controls of CO2 exchange in nonacidic moist tundra vegetation will be critical for determining the carbon budget of the Low Arctic region.</t>
  </si>
  <si>
    <t>Univ Bern, Inst Geog, CH-3012 Bern, Switzerland; Univ Minnesota, Dept Ecol Evolut &amp; Behav, St Paul, MN 55108 USA; Univ Alaska, Inst Arctic Biol, Fairbanks, AK 99775 USA</t>
  </si>
  <si>
    <t>University of Bern; University of Minnesota System; University of Minnesota Twin Cities; University of Alaska System; University of Alaska Fairbanks</t>
  </si>
  <si>
    <t>Univ Bern, Inst Geog, Hallerstr 12, CH-3012 Bern, Switzerland.</t>
  </si>
  <si>
    <t>werner.eugster@ipw.agrl.ethz.ch</t>
  </si>
  <si>
    <t>Eugster, Werner/E-5116-2010; Chapin, F Stuart/AAZ-3931-2020</t>
  </si>
  <si>
    <t>Chapin, F Stuart/0000-0002-2558-9910; Eugster, Werner/0000-0001-6067-0741</t>
  </si>
  <si>
    <t>10.1657/1523-0430(2005)037[0061:DISREA]2.0.CO;2</t>
  </si>
  <si>
    <t>WOS:000229051500008</t>
  </si>
  <si>
    <t>Kukkola, E; Rautio, P; Huttunen, S</t>
  </si>
  <si>
    <t>Long-term symptoms due to metal and acid precipitation treatments in Scots pine (Pinus sylvestris) needles in the subarctic</t>
  </si>
  <si>
    <t>ELEMENT CONCENTRATIONS; ULTRASTRUCTURE; SPRUCE; RAIN; NICKEL; FROST; SEEDLINGS; INJURIES; EXPOSURE; EUROPE</t>
  </si>
  <si>
    <t>in naturally harsh environments, such as arctic-alpine regions, even low levels of anthropogenic pollution appear to have detrimental impacts on plants. We studied the symptoms induced by metal and acid rain treatments in the ultrastructure of Scots pine (Pinus sylvestris) needles in one of the northernmost pine stands in the world at the Kevo Subarctic Research Station, Finland. Adult Scots pines at their natural growing site were irrigated during 1991-1996 with (1) water, (2) acid (pH 3), (3) copper and nickel (below CuNi), (4) Cu and Ni combined with acid, or (5) left unirrigated. The two youngest needle age classes were sampled in September 1996 for microscopy and elemental analyses, and the three youngest needle age classes for an evaluation of visible injuries. The CuNi treatment increased significantly both Ni and Cu concentrations. The accumulation of Cu in C + 1 needles was enhanced by acid addition. CuNi addition did not increase visible injuries, but significantly more ultrastructural dark accumulations and swollen thylakoids were seen in CuNi-treated C + 1 needles. The results show that, even in a seemingly harsh environment, pines are able to resist acid and metal-induced stress for a few years. However, tree growth is likely to suffer in the long run because the injuries seen in older needles suggest that the total capacity of the photosynthetic machinery is likely to decrease.</t>
  </si>
  <si>
    <t>Univ Oulu, Div Plant Physiol, Dept Biosci, FIN-90014 Oulu, Finland; Finnish Forest Res Inst, FIN-39700 Parkano, Finland</t>
  </si>
  <si>
    <t>University of Oulu; Natural Resources Institute Finland (Luke)</t>
  </si>
  <si>
    <t>Huttunen, S (corresponding author), Univ Oulu, Div Plant Physiol, Dept Biosci, FIN-90014 Oulu, Finland.</t>
  </si>
  <si>
    <t>satu.huttunen@oulu.fi</t>
  </si>
  <si>
    <t>Rautio, Pasi/A-6595-2013</t>
  </si>
  <si>
    <t>10.1657/1523-0430(2005)037[0068:LSDTMA]2.0.CO;2</t>
  </si>
  <si>
    <t>WOS:000229051500009</t>
  </si>
  <si>
    <t>Beylich, AA; Molau, U; Luthbom, K; Gintz, D</t>
  </si>
  <si>
    <t>Rates of chemical and mechanical fluvial denudation in an arctic oceanic periglacial environment, latnjavagge drainage basin, northernmost Swedish Lapland</t>
  </si>
  <si>
    <t>WATER CHEMISTRY; ALPINE ENVIRONMENT; KARKEVAGGE; SWEDEN; GEOMORPHOLOGY; MOUNTAINS; MELTWATER; EVENTS; RANGE</t>
  </si>
  <si>
    <t>A process geomorphological investigation was started in 1999 to study present denudation rates and the mutual relationship of chemical and mechanical fluvial denudation in periglacial environments. Latnjavagge (9 km(2); 950-1440 in a.s.l.; 68° 20'N, 18° 30'E) was chosen as a representative drainage basin of the arctic-oceanic mountain area in northernmost Swedish Lapland. Atmospheric solute inputs, chemical denudation, and mechanical fluvial denudation were analyzed. During the arctic summer field seasons of 2000, 2001, and 2002 measurements of daily precipitation, solute concentrations in precipitation, and in melted snow cores, taken before snowmelt, were recorded. In addition, solute and suspended sediment concentrations in creeks were analyzed, and bedload tracer movements were registered during the entire summer seasons (end of May until beginning of September). Results show a mean annual chemical denudation net rate of 5.4 t km(-2) yr(-1) in the entire catchment. Chemical denudation in Latnjavagge is less than one third of chemical denudation rates reported for Karkevagge (Swedish Lapland) but seems to be at a similar level as in a number of other subarctic, arctic, and alpine environments. Mechanical fluvial denudation is lower than chemical denudation. Most sediment transport in channels occurs in the early summer season during a few days with snowmelt generated runoff peaks. The main sediment sources in the drainage basin are mobilized channel bed pavements exposing fines, ice patches/fields, and material mobilized by slush flows. The calculated mean mechanical fluvial denudation rate is 2.3 t km(-2) yr(-1) at the inlet of lake Latnjajaure, situated in Latnjavagge close to the outlet of the valley. A very stable vegetation cover and rhyzosphere in this environment mainly explain the low value. The mean mechanical fluvial denudation rate at the outlet of the entire Latnjavagge drainage basin, below lake Latnjajaure, is only 0.8 t km(-2) yr(-1). Both chemical and mechanical fluvial denudation show low intensity. The results from Latnjavagge support the contention that chemical denudation is a somewhat important denudational process in periglacial environments.</t>
  </si>
  <si>
    <t>Uppsala Univ, Dept Earth Sci, Geocentrum, SE-75236 Uppsala, Sweden; Univ Gothenburg, Inst Bot, SE-40530 Gothenburg, Sweden; Lulea Univ Technol, SE-97187 Lulea, Sweden; Free Univ Berlin, Inst Geol Sci, D-12249 Berlin, Germany</t>
  </si>
  <si>
    <t>Uppsala University; University of Gothenburg; Lulea University of Technology; Free University of Berlin</t>
  </si>
  <si>
    <t>Beylich, AA (corresponding author), Uppsala Univ, Dept Earth Sci, Geocentrum, Villavagen 16, SE-75236 Uppsala, Sweden.</t>
  </si>
  <si>
    <t>Achim.Beylich@ngu.no</t>
  </si>
  <si>
    <t>Beylich, Achim A./JUV-1673-2023</t>
  </si>
  <si>
    <t>Beylich, Achim A./0000-0003-3382-5394</t>
  </si>
  <si>
    <t>10.1657/1523-0430(2005)037[0075:ROCAMF]2.0.CO;2</t>
  </si>
  <si>
    <t>WOS:000229051500010</t>
  </si>
  <si>
    <t>Boyce, RL; Clark, R; Dawson, C</t>
  </si>
  <si>
    <t>Factors determining alpine species distribution on Goliath Peak, Front Range, Colorado, USA</t>
  </si>
  <si>
    <t>CANONICAL CORRESPONDENCE-ANALYSIS; FUZZY-SET ORDINATION; PINUS-ARISTATA; ROCKY-MOUNTAINS; NIWOT RIDGE; VEGETATION; GRADIENT</t>
  </si>
  <si>
    <t>The effect of environmental factors on the distribution of alpine plant community types has been extensively studied in Colorado. Much less attention has been paid to the effects of these factors within community types, however. Transects were placed in the alpine zone of Goliath Peak in the Front Range of the Colorado Rocky Mountains. Species presences were tallied in 1-m(2) rectangular plots. Fuzzy set ordination (FSO) was used to determine which environmental factors were responsible for changes in species composition. Most sites fell into the fellfield or dry meadow community types. Water availability, as indicated by elevation, estimated winter snow depth and, less strongly, soil texture, was a strong factor associated with changes in plant community composition, both within and among community types. Temperature, as indicated by aspect, was also associated with these changes. The lack of Kobresia myosuroides at Goliath Peak appears to be caused by snow depths too deep or too shallow for this species. FSO proved to be more effective when environmental factors were ordinated separately rather than sequentially, as originally suggested. This was confirmed by a Bray-Curtis ordination. A species-site biplot showed how species and sites can be displayed together on the same fuzzy set ordination.</t>
  </si>
  <si>
    <t>Univ Denver, Dept Biol Sci, Denver, CO 80208 USA; Denver Bot Gardens, Res Dept, Denver, CO 80206 USA; Colorado State Off, Bur Land Management, Lakewood, CO 80215 USA</t>
  </si>
  <si>
    <t>University of Denver</t>
  </si>
  <si>
    <t>Univ Denver, Dept Biol Sci, Denver, CO 80208 USA.</t>
  </si>
  <si>
    <t>boycer@nku.edu; carol_dawson@co.blm.gov</t>
  </si>
  <si>
    <t>10.1657/1523-0430(2005)037[0088:FDASDO]2.0.CO;2</t>
  </si>
  <si>
    <t>WOS:000229051500011</t>
  </si>
  <si>
    <t>Bekker, MF</t>
  </si>
  <si>
    <t>Positive feedback between tree establishment and patterns of subalpine forest advancement, Glacier National Park, Montana, USA</t>
  </si>
  <si>
    <t>TUNDRA ECOTONE; CLIMATIC VARIABILITY; TIMBERLINE CONIFERS; ABIES-LASIOCARPA; ROCKY-MOUNTAINS; CARBON BALANCE; COLORADO; DYNAMICS; SNOW; GROWTH</t>
  </si>
  <si>
    <t>The development and maintenance of several types of visually striking vegetation patterns are controlled by positive feedback between pattern and process. These patterns are particularly common at ecotones, where the influence of positive feedback may affect the position and dynamics of the boundary between the adjacent biotic communities. In this study, I use dendrochronology to examine the role of feedback between existing trees and the establishment and survival of seedlings in the advancement of linear, finger-like strips of subalpine forest in Glacier National Park, Montana. A general upslope, windward to leeward pattern of older trees followed by progressively younger trees was evident in all sample transects, although in some cases this pattern repeated several times along the length of a transect, with each repetition originating leeward of boulders. Overall advancement rates varied from 0.28 to 0.62 m yr(-1). The oldest trees established in the early to mid-1700s, but establishment and advancement increased rapidly after 1850, and peaked in the early 1900s. In addition, almost all seedlings established within 5 m downwind of existing trees between 1700 and 1850, while establishment beyond this distance was common after 1850. These patterns suggest that existing trees facilitate leeward seedling establishment and survival, by depositing wind-blown snow. These seedlings in turn modify their leeward environment, thus allowing forest advancement in a linear pattern. Feedback was critical for the survival of seedlings before 1800, and strongly controlled advancement between about 1800 and 1850, but appears to have had little effect on establishment patterns since that time. The importance of feedback between pattern and process may change over time and space as a result of changes in climatic conditions or biotic surroundings.</t>
  </si>
  <si>
    <t>Brigham Young Univ, Dept Geog, Provo, UT 84602 USA</t>
  </si>
  <si>
    <t>Brigham Young University</t>
  </si>
  <si>
    <t>Brigham Young Univ, Dept Geog, Provo, UT 84602 USA.</t>
  </si>
  <si>
    <t>matthew_bekker@byu.edu</t>
  </si>
  <si>
    <t>10.1657/1523-0430(2005)037[0097:PFBTEA]2.0.CO;2</t>
  </si>
  <si>
    <t>WOS:000229051500012</t>
  </si>
  <si>
    <t>Barrett, JE; Virginia, RA; Parsons, AN; Wall, DH</t>
  </si>
  <si>
    <t>Potential soil organic matter turnover in Taylor Valley, Antarctica</t>
  </si>
  <si>
    <t>MCMURDO DRY VALLEYS; GROUNDED ICE-SHEET; NITROGEN MINERALIZATION; GRASSLAND SOILS; GLACIAL HISTORY; ROSS SEA; CARBON; COMMUNITIES; INVERTEBRATES; ENVIRONMENT</t>
  </si>
  <si>
    <t>Antarctic Dry Valley ecosystems are among the most inhospitable soil ecosystems on earth with simple food webs and nearly undetectable fluxes of carbon (C) and nitrogen (N). Due to the lack of vascular plants, soil organic matter concentrations are extremely low, and it is unclear how much of the contemporary soil C budget is actively cycling or a legacy of paleolake production and sedimentation. While recent work indicates multiple sources of organic matter for dry valley soils, the composition and kinetics of organic pools remain poorly characterized. We examined soil organic matter pools and potential C and N turnover in soils from within six sites located across three hydrological basins of Taylor Valley, Antarctica that differed in surface age, microclimate and proximity to legacy (paleolake) sources of organic matter. We estimated potential C and N mineralization, and rate kinetics using gas exchange and repeated leaching techniques during 90-d incubations of surface soils collected from valley basin and valley slope positions in three basins of Taylor Valley. Soil organic C content was negatively correlated with the ages of underlying tills, supporting previous descriptions of legacy organic matter. Carbon and N mineralization generally followed 1st order kinetics and were well described by exponential models. Labile pools of C (90 d) were 10% of the total organic C in the upper 5 cm of the soil profile. Labile N was 50% of the total N in surface soils of Taylor Valley. These results show that a large proportion of soil C and particularly N are mineralizable under suitable conditions and suggest that a kinetically defined labile pool of organic matter is potentially active in the field during brief intervals of favorable microclimate. Climate variation changing the duration of these conditions may have potentially large effects on the small pools of C and N in these soils.</t>
  </si>
  <si>
    <t>Dartmouth Coll, Environm Studies Program, Hanover, NH 03755 USA; Colorado State Univ, Nat Resource Ecol Lab, Ft Collins, CO 80523 USA</t>
  </si>
  <si>
    <t>Dartmouth College; Colorado State University</t>
  </si>
  <si>
    <t>Dartmouth Coll, Environm Studies Program, 6182 Steele Hall, Hanover, NH 03755 USA.</t>
  </si>
  <si>
    <t>John.E.Barrett@Dartmouth.edu</t>
  </si>
  <si>
    <t>Wall, Diana H/F-5491-2011; Barrett, John/D-5851-2016</t>
  </si>
  <si>
    <t>Barrett, John/0000-0002-7610-0505</t>
  </si>
  <si>
    <t>10.1657/1523-0430(2005)037[0108:PSOMTI]2.0.CO;2</t>
  </si>
  <si>
    <t>WOS:000229051500013</t>
  </si>
  <si>
    <t>Sjögersten, S; Wookey, PA</t>
  </si>
  <si>
    <t>The role of soil organic matter quality and physical environment for nitrogen mineralization at the forest-tundra ecotone in Fennoscandia</t>
  </si>
  <si>
    <t>MOUNTAIN BIRCH; LITTER DECOMPOSITION; CLIMATE-CHANGE; LEAF-LITTER; CO2 EFFLUX; TEMPERATURE; RESPONSES; RESPIRATION; VEGETATION; DYNAMICS</t>
  </si>
  <si>
    <t>Nitrogen availability is considered limiting for plant growth at the forest-tundra ecotone, and it might modulate ecosystem response to climate warming. The aim of this research was to compare the impact of climate, vegetation cover, and soil organic matter (SOM) chemistry on N mineralization rates at the forest-tundra ecotone. We therefore estimated N mineralization in mountain birch (Betula pubescens Ehrh. ssp. czerepanovii) forest and tundra soil across a broad-scale latitudinal gradient in Fennoscandia, which incorporated 4 research sites (Dovrefjell, Vassijaure, Abisko, and Joatka). During the summer period, ammonium was the dominant form of mineralized nitrogen in forest soils, while nitrate mineralization rates were higher at tundra sites during the winter. A negative regression relationship between an index of climatic continentality and N mineralization was found. Further, summer NH4+ mineralization rates increased with total N content in soils, while NO3- mineralization seemed to be associated with C availability. Our study showed markedly contrasting inorganic N release in forest and tundra soil, and that, although mineralization rates differed between the summer and winter period, the winter activity was relatively high and should not be ignored. We conclude that a shift in the forest-tundra ecotone in response to climate wan-ning will have stronger effects on nitrogen availability at these sites than the direct effects of warming.</t>
  </si>
  <si>
    <t>Univ Aberdeen, Dept Plant &amp; Soil Sci, Aberdeen AB24 3UU, Scotland; Univ Stirling, Sch Biol &amp; Environm Sci, Stirling FK9 4LA, Scotland</t>
  </si>
  <si>
    <t>University of Aberdeen; University of Stirling</t>
  </si>
  <si>
    <t>Univ Aberdeen, Dept Plant &amp; Soil Sci, Cruickshank Bldg,St Machar Dr, Aberdeen AB24 3UU, Scotland.</t>
  </si>
  <si>
    <t>sstu@ceh.ac.uk</t>
  </si>
  <si>
    <t>Wookey, Philip/AAA-6271-2020</t>
  </si>
  <si>
    <t>Wookey, Philip/0000-0001-5957-6424</t>
  </si>
  <si>
    <t>10.1657/1523-0430(2005)037[0118:TROSOM]2.0.CO;2</t>
  </si>
  <si>
    <t>WOS:000229051500014</t>
  </si>
  <si>
    <t>Heldmann, JL; Pollard, WH; McKay, CP; Andersen, DT; Toon, OB</t>
  </si>
  <si>
    <t>Annual development cycle of an icing deposit and associated perennial spring activity on Axel Heiberg Island, Canadian High Arctic</t>
  </si>
  <si>
    <t>EXPEDITION FJORD</t>
  </si>
  <si>
    <t>This paper examines the behavior of perennial saline springs and their icings at Expedition Fiord in the Canadian High Arctic during the winter months when temperatures are below the eutectic point of the solution and during the early spring when temperatures are still below freezing but above the eutectic point. The spring outflow begins to freeze when it cools from the discharge temperature which is between -3.5 degrees C and +6 degrees C. As ice forms it remains mixed with the brine forming a salty, icy, slush which lines the sides of the flow channel. Networks of pipes and tunnels also allow the brine to flow under and through the icing before being frozen at the icing perimeter. In late winter complete freezing occurs several hundred meters from the springs' outlets. There appears to be incomplete fractionation of salt during the freezing process and the bulk ice contains 30 to 285 ppt salt. The icing reaches its maximum extent in late winter just before temperatures rise above the eutectic point. In April 2002 the icing had dimensions of 300 m by 700 m, an average thickness of 0.5 m and a total mass of approximately 2 X 10(8) kg. This icing mass is consistent with the flow from the springs during the previous 6 mo.</t>
  </si>
  <si>
    <t>Univ Colorado, Dept Geol Sci, Boulder, CO 80309 USA; Univ Colorado, Atmospher &amp; Space Phys Lab, Boulder, CO 80309 USA; McGill Univ, Dept Geog, Montreal, PQ H3A 2K6, Canada; NASA, Ames Res Ctr, Div Space Sci, Moffett Field, CA 94035 USA; SETI Inst, Mountain View, CA 94043 USA; Univ Colorado, Program Atmospher &amp; Ocean Sci, Atmospher &amp; Space Phys Lab, Boulder, CO 80309 USA</t>
  </si>
  <si>
    <t>University of Colorado System; University of Colorado Boulder; University of Colorado System; University of Colorado Boulder; McGill University; National Aeronautics &amp; Space Administration (NASA); NASA Ames Research Center; University of Colorado System; University of Colorado Boulder</t>
  </si>
  <si>
    <t>Univ Colorado, Dept Geol Sci, Boulder, CO 80309 USA.</t>
  </si>
  <si>
    <t>jheldmann@mail.arc.nasa.gov</t>
  </si>
  <si>
    <t>Andersen, Dale T/B-4816-2013</t>
  </si>
  <si>
    <t>Andersen, Dale T/0000-0001-8827-1259; McKay, Christopher/0000-0002-6243-1362</t>
  </si>
  <si>
    <t>10.1657/1523-0430(2005)037[0127:ADCOAI]2.0.CO;2</t>
  </si>
  <si>
    <t>WOS:000229051500015</t>
  </si>
  <si>
    <t>Aristidi, E; Agabi, K; Azouit, M; Fossat, E; Vernin, J; Travouillon, T; Lawrence, JS; Meyer, C; Storey, JWV; Halter, B; Roth, WL; Walden, V</t>
  </si>
  <si>
    <t>An analysis of temperatures and wind speeds above Dome C, Antarctica</t>
  </si>
  <si>
    <t>site testing; atmospheric effects; balloons</t>
  </si>
  <si>
    <t>ASTRONOMY; PLATEAU</t>
  </si>
  <si>
    <t>A good astronomical site must fulfill several criteria including low atmospheric turbulence and low wind speeds. It is therefore important to have a detailed knowledge of the temperature and wind conditions of a location considered for future astronomical research. Antarctica has unique atmospheric conditions that have already been exploited at the South Pole station. Dome C, a site located on a local maximum of the Antarctic plateau, is likely to have even better conditions. In this paper we present the analysis of two decades of wind speed measurements taken at Dome C by an automated weather station (AWS). We also present temperature and wind speed profiles taken over four Antarctic summers using balloon-borne weather sondes. We will show that as well as having one of the lowest average wind speed ever recorded at an existing or potential observatory, Dome C also has an extremely stable upper atmosphere and a very low inversion layer.</t>
  </si>
  <si>
    <t>Univ Nice, Lab Univ Astrophys Nice, F-06108 Nice 2, France; Univ New S Wales, Sch Phys, Sydney, NSW 2052, Australia; Univ Idaho, Dept Geog, Moscow, ID 83843 USA</t>
  </si>
  <si>
    <t>Universite Cote d'Azur; University of New South Wales Sydney; Idaho; University of Idaho</t>
  </si>
  <si>
    <t>Univ Nice, Lab Univ Astrophys Nice, Parc Valrose, F-06108 Nice 2, France.</t>
  </si>
  <si>
    <t>aristidi@unice.fr; tonyt@phys.unsw.edu.au</t>
  </si>
  <si>
    <t>Travouillon, Tony/0000-0001-9304-6718; Aristidi, Eric/0000-0001-9886-7670; Lawrence, Jon/0000-0002-6998-6993; Vernin, Jean/0000-0002-8956-8844</t>
  </si>
  <si>
    <t>10.1051/0004-6361:20041876</t>
  </si>
  <si>
    <t>889TE</t>
  </si>
  <si>
    <t>WOS:000226464700038</t>
  </si>
  <si>
    <t>Crawford, I; Cockell, C</t>
  </si>
  <si>
    <t>The scientific case for human space exploration</t>
  </si>
  <si>
    <t>ASTRONOMY &amp; GEOPHYSICS</t>
  </si>
  <si>
    <t>UCL, Dept Earth Sci, London, England; Univ London, Birkbeck Coll, London, England; British Antarctic Survey, Cambridge CB3 0ET, England</t>
  </si>
  <si>
    <t>University of London; University College London; University of London; Birkbeck University London; UK Research &amp; Innovation (UKRI); Natural Environment Research Council (NERC); NERC British Antarctic Survey</t>
  </si>
  <si>
    <t>Crawford, I (corresponding author), UCL, Dept Earth Sci, London, England.</t>
  </si>
  <si>
    <t>Crawford, Ian/H-7510-2012</t>
  </si>
  <si>
    <t>1366-8781</t>
  </si>
  <si>
    <t>ASTRON GEOPHYS</t>
  </si>
  <si>
    <t>Astron. Geophys.</t>
  </si>
  <si>
    <t>10.1046/j.1468-4004.2003.46117.x</t>
  </si>
  <si>
    <t>Astronomy &amp; Astrophysics; Geochemistry &amp; Geophysics</t>
  </si>
  <si>
    <t>890SD</t>
  </si>
  <si>
    <t>Green Accepted, Bronze</t>
  </si>
  <si>
    <t>WOS:000226530200023</t>
  </si>
  <si>
    <t>McKie, BG; Pearson, RG; Cranston, PS</t>
  </si>
  <si>
    <t>Does biogeographical history matter?: Diversity and distribution of lotic midges (Diptera:Chironomidae) in the Australian Wet Tropics</t>
  </si>
  <si>
    <t>AUSTRAL ECOLOGY</t>
  </si>
  <si>
    <t>altitude; diversity gradients; faunal zonation; Gondwana; tropical streams</t>
  </si>
  <si>
    <t>RAIN-FOREST; SPECIES RICHNESS; STREAM; INSECTS; PATTERNS; ECOLOGY; BIODIVERSITY; CONTRACTIONS; ASSEMBLAGES; EXTINCTIONS</t>
  </si>
  <si>
    <t>We examined broad scale patterns of diversity and distribution of lotic Chironomidae (Diptera) within the Wet Tropics bioregion of northern Queensland, Australia. Field surveys across broad latitudinal and altitudinal gradients within the Wet Tropics revealed a fauna of 87 species-level taxa in 49 genera comprising three main elements: a small genuinely tropical fraction, and larger cosmopolitan and Gondwanan components. The latter group originated when Australia, as part of the ancient Gondwana supercontinent, was situated over Antarctic latitudes with a cooler, wetter climate than today. In the Wet Tropics, cool Gondwanan taxa occurred predominantly in upland and shaded lowland sites, but no species appeared narrowly temperature restricted, and there was no faunal zonation with altitude. Most chironomid species occurred at all latitudes within the Wet Tropics, with no evidence for an enduring effect of the historical rainforest contractions on current-day distribution patterns. These findings contrast with those for aquatic faunas elsewhere in the world and for the terrestrial Wet Tropics fauna. We relate this to the generally broad environmental tolerances of Australian chironomids, and comment on why the latitudinal diversity gradient does not apply to the Australian chironomid fauna.</t>
  </si>
  <si>
    <t>James Cook Univ, Sch Trop Biol, Townsville, Qld, Australia; Univ Calif Davis, Rainforest Cooperat Res Ctr, Davis, CA 95616 USA; Univ Calif Davis, Dept Entomol, Davis, CA 95616 USA</t>
  </si>
  <si>
    <t>James Cook University; University of California System; University of California Davis; University of California System; University of California Davis</t>
  </si>
  <si>
    <t>Umea Univ, Dept Ecol &amp; Environm Sci, S-90187 Umea, Sweden.</t>
  </si>
  <si>
    <t>brendan.mckie@eg.umu.se</t>
  </si>
  <si>
    <t>McKie, Brendan G/C-9376-2013; Pearson, Richard/GQH-2760-2022</t>
  </si>
  <si>
    <t>McKie, Brendan/0000-0002-1796-9497; Pearson, Richard/0000-0001-6047-031X; Cranston, Peter/0000-0001-7535-9809</t>
  </si>
  <si>
    <t>1442-9985</t>
  </si>
  <si>
    <t>1442-9993</t>
  </si>
  <si>
    <t>AUSTRAL ECOL</t>
  </si>
  <si>
    <t>Austral Ecol.</t>
  </si>
  <si>
    <t>898FR</t>
  </si>
  <si>
    <t>WOS:000227062400001</t>
  </si>
  <si>
    <t>Shaw, JD; Hovenden, MJ; Bergstrom, DM</t>
  </si>
  <si>
    <t>The impact of introduced ship rats (Rattus rattus) on seedling recruitment and distribution of a subantarctic megaherb (Pleurophyllum hookeri)</t>
  </si>
  <si>
    <t>climate change; introduced species; megaherbs; population recruitment; ship rats; subantarctic</t>
  </si>
  <si>
    <t>FERAL HOUSE MICE; MACQUARIE-ISLAND; MARION-ISLAND; KERGUELEN ARCHIPELAGO; CAMPBELL ISLAND; CLIMATE-CHANGE; SOUTH-GEORGIA; MUS-MUSCULUS; HABITAT USE; VEGETATION</t>
  </si>
  <si>
    <t>The impact of introduced ship rats (Rattus rattus) on recruitment of the megaherb Pleurophyllum hookeri Buchan. (Asteraceae) was examined on subantarctic Macquarie Island, an island with no extant native terrestrial vertebrates. Pleurophyllum hookeri (Asteraceae) forms a dominant component of the Macquarie Island vegetation and is restricted to the subantarctic. The Macquarie Island population of P. hookeri is the most extensive and intact. Introduced ship rats (Rattus rattus) are well established in tall tussock grassland of Macquarie Island. We detected rat activity for the first time within P. hookeri herbfields, in autumn 2000. We found rats were destroying up to 90% of racemes. By excluding rats from caches of inflorescences that they had formed, we found they were having a significant negative effect on initial recruitment and seedling survival within the caches. However, because of high seedling mortality after 1 year, there was no sustained impact of the exclosures on P. hookeri seedling density.</t>
  </si>
  <si>
    <t>Univ Tasmania, Sch Plant Sci, Hobart, Tas 7001, Australia; Australian Antarctic Div, Kingston, Tas, Australia</t>
  </si>
  <si>
    <t>Shaw, JD (corresponding author), Univ Tasmania, Sch Plant Sci, Private Bag 55, Hobart, Tas 7001, Australia.</t>
  </si>
  <si>
    <t>jdshaw@utas.edu.au</t>
  </si>
  <si>
    <t>Bergstrom, Dana/AAC-2837-2022; Hovenden, Mark/A-1323-2008</t>
  </si>
  <si>
    <t>Bergstrom, Dana/0000-0001-8484-8954; Hovenden, Mark/0000-0001-7208-9700; Shaw, Justine/0000-0002-9603-2271</t>
  </si>
  <si>
    <t>BLACKWELL PUBLISHING ASIA</t>
  </si>
  <si>
    <t>CARLTON</t>
  </si>
  <si>
    <t>54 UNIVERSITY ST, P O BOX 378, CARLTON, VICTORIA 3053, AUSTRALIA</t>
  </si>
  <si>
    <t>10.1111/j.1442-9993.2005.01430.x</t>
  </si>
  <si>
    <t>WOS:000227062400011</t>
  </si>
  <si>
    <t>Exon, NF; Hill, PJ; Mitchell, C; Post, A</t>
  </si>
  <si>
    <t>Nature and origin of the submarine Albany canyons off southwest Australia</t>
  </si>
  <si>
    <t>AUSTRALIAN JOURNAL OF EARTH SCIENCES</t>
  </si>
  <si>
    <t>Albany canyons; Bremer Sub-basin; continental slope; multibeam sonar; submarine canyons</t>
  </si>
  <si>
    <t>CARBONATE SHELF; BIGHT; SEDIMENTS; EVOLUTION; MARGIN; MIDDLE</t>
  </si>
  <si>
    <t>The Albany canyons complex off southwest Australia extends 700 km from Cape Leeuwin to east of Esperance. The submarine canyons head on the uppermost continental slope and extend from there up to 90 km offshore, to the lowermost slope and onto the abyssal plain, Distributaries have transported shelf carbonate grains at least 150 km onto the abyssal plain, The largest canyons have cut down 1500-2000 m in places. In general, on the upper slope they have cut down into harder, older rocks: canyon walls are steep, canyon axes slope at up to 201, and ancient structures control their orientation. On the lower slope the canyons generally have not eroded down into harder rocks: canyon walls ore less steep, canyon axis slopes are lower, and the canyons are generally oriented downslope. The canyons have exposed Jurassic and younger sedimentary rocks: their nature, canyon morphology and information from seismic reflection profiles have helped us build an understanding of canyon history. Floodplain deposition rather than erosion occurred during Australia-Antarctic rifting in the Late Jurassic, so river canyons (possible precursors of marine canyons) were unlikely to have been cut. A transition from non-marine to shallow-marine sedimentation characterised Early Cretaceous deposition in the slowly developing rift of the Australo-Antarctic Gulf. Gradients were low and canyon cutting unlikely. Deep river canyons were probably cut during uplift and erosion immediately before the Santonian breakup from Antarctica and their paths probably controlled later marine canyons. Only with the onset of rapid sea-floor spreading and subsidence in the Middle Eocene (ca 43 Ma) did gradients steepen and major marine canyon cutting become possible. The major sea-level fall at the Middle/Late Eocene boundary (ca 40 Ma) may perhaps have accelerated canyon formation. Carbonate sedimentation started to replace siliciclastic sedimentation in the late Middle Eocene, and became completely dominant in the Oligocene as the Antarctic Circumpolar Current started to scour the outer shelf of fines, However, carbonate grains displaced from the outer shelf could continue to cut the canyons, largely during periods of low sea level.</t>
  </si>
  <si>
    <t>Geosci Australia, Canberra, ACT 2601, Australia</t>
  </si>
  <si>
    <t>Geoscience Australia</t>
  </si>
  <si>
    <t>Australian Natl Univ, Dept Earth &amp; Marine Sci, Canberra, ACT 0200, Australia.</t>
  </si>
  <si>
    <t>Neville.Exon@anu.edu.au</t>
  </si>
  <si>
    <t>Post, Alexandra/0000-0002-6287-3283; Exon, Neville/0000-0003-4169-4144</t>
  </si>
  <si>
    <t>0812-0099</t>
  </si>
  <si>
    <t>1440-0952</t>
  </si>
  <si>
    <t>AUST J EARTH SCI</t>
  </si>
  <si>
    <t>Aust. J. Earth Sci.</t>
  </si>
  <si>
    <t>10.1080/08120090500100036</t>
  </si>
  <si>
    <t>960AF</t>
  </si>
  <si>
    <t>WOS:000231561900006</t>
  </si>
  <si>
    <t>Collins, KT; Rogers, TL; Terhune, JM; McGreevy, PD; Wheatley, KE; Harcourt, RG</t>
  </si>
  <si>
    <t>Individual variation of in-air female 'pup contact' calls in Weddell seals, Leptonychotes weddellii</t>
  </si>
  <si>
    <t>individual variation; 'contact' calls; Weddell seal; Leptonychotes weddellii</t>
  </si>
  <si>
    <t>PHOCA-VITULINA; HARP SEALS; HALICHOERUS-GRYPUS; VOCAL RECOGNITION; KIN RECOGNITION; MCMURDO SOUND; FUR SEALS; MOTHER; VOCALIZATIONS; BEHAVIOR</t>
  </si>
  <si>
    <t>Vocal recognition may function as a critical factor in maintaining the phocid mother-pup bond during lactation. For vocal recognition to function, the caller must produce individually distinct calls that are recognised by their intended recipient. Mother-pup vocal recognition has been studied extensively in colonial otariids and appears to be characteristic of this family. Although less numerous, empirical studies of phocid species have revealed a range of recognition abilities. This study investigated whether Weddell seal (Leptonychotes weddel-lii) females produce individually distinct 'pup contact' calls that function during natural pair reunions. Fifteen calls from each of nine females recorded in the Vestfold Hills, Antarctica were analysed. One temporal, nine fundamental frequency and five spectral characteristics were measured. Results of the cross-validated Discriminant Function Analysis revealed that mothers produce individually distinct calls with 56% of calls assigned to the correct individual. The probability of achieving this level of discrimination on novel data by chance alone is highly improbable. Analysis of eight mother-pup reunions recorded near McMurdo Sound, Antarctica further demonstrated that these 'pup contact' calls function during natural pair reunions. Behavioural analysis also revealed that pups were chiefly responsible for establishing and maintaining close contact throughout the reunion process. Our study therefore demonstrates that Weddell seal females produce calls with sufficient stereotypy to allow pups to identify them during pair reunions, providing evidence of a functioning mother-pup vocal recognition system.</t>
  </si>
  <si>
    <t>Univ Sydney, Fac Vet Sci, Sydney, NSW 2006, Australia; Australian Marine Mammal Res Ctr, Zool Pk Board NSW, Sydney, NSW 2006, Australia; Univ New Brunswick, Dept Biol, Fredericton, NB E3B 5A3, Canada; Univ Sydney, Fac Vet Sci, Sydney, NSW 2006, Australia; Univ Tasmania, Antarctic Wildlife Res Unit, Sch Zool, Hobart, Tas 7001, Australia; Macquarie Univ, Grad Sch Environm, Marine Mammal Res Grp, N Ryde, NSW, Australia</t>
  </si>
  <si>
    <t>University of Sydney; University of New Brunswick; University of Sydney; University of Tasmania; Macquarie University</t>
  </si>
  <si>
    <t>Univ Sydney, Fac Vet Sci, JD Steward Bldg B01, Sydney, NSW 2006, Australia.</t>
  </si>
  <si>
    <t>kcol5337@mail.usyd.edu.au</t>
  </si>
  <si>
    <t>McGreevy, Paul/0000-0001-7220-8378; Rogers, Tracey/0000-0002-7141-4177; Terhune, John/0000-0002-2661-7389; Harcourt, Robert/0000-0003-4666-2934</t>
  </si>
  <si>
    <t>1568-539X</t>
  </si>
  <si>
    <t>10.1163/1568539053627668</t>
  </si>
  <si>
    <t>925TE</t>
  </si>
  <si>
    <t>WOS:000229075400003</t>
  </si>
  <si>
    <t>Kotwicki, L; Szymelfenig, M; De Troch, M; Urban-Malinga, B; Weslawski, JM</t>
  </si>
  <si>
    <t>Latitudinal biodiversity patterns of meiofauna from sandy littoral beaches</t>
  </si>
  <si>
    <t>BIODIVERSITY AND CONSERVATION</t>
  </si>
  <si>
    <t>biodiversity; latitudinal gradient; meiofauna; sandy beaches</t>
  </si>
  <si>
    <t>COMMUNITY STRUCTURE; GLOBAL DIVERSITY; DEEP-SEA; MEIOBENTHOS; ABUNDANCE; GRADIENTS; ECOLOGY</t>
  </si>
  <si>
    <t>Meiofaunal samples from arctic (Bear Island, Franz Josef Land, Hopen, Kolguev), temperate (Baltic Sea, North Sea) subtropical (Tunisia, Greece), tropical (Emirates, Ghana) and antarctic sandy beaches were collected at the medium water mark. The highest average meiofaunal density was found in the temperate zone (1300 individuals 10 cm(-7)) and the lowest in both polar regions: in arctic (79 individuals 10cm(-2)) and in antarctic (35 individuals 10cm(-2)) samples. Nematodes dominated the meiofauna community in warm regions, while turbellarians were more common in cold water regions. Sixteen higher taxa were recorded in tropical sites, while only eight taxa were observed in the sampled cold regions. This difference was mainly due to the presence of small specimens of macrofauna in the tropics. When only 'true meiofauna' higher taxa were compared, no latitudinal trends were found.</t>
  </si>
  <si>
    <t>Ctr Ecol Res PAS, PL-05092 Lomianki, Poland; Univ Gdansk, PL-81378 Gdynia, Poland; Univ Ghent, Marine Biol Sect, Biol Dept, B-9000 Ghent, Belgium; Inst Oceanol PAS, Warsaw, Poland</t>
  </si>
  <si>
    <t>Polish Academy of Sciences; Fahrenheit Universities; University of Gdansk; Ghent University; Polish Academy of Sciences; Institute of Oceanology of the Polish Academy of Sciences</t>
  </si>
  <si>
    <t>Ctr Ecol Res PAS, Konopnickiej 1, PL-05092 Lomianki, Poland.</t>
  </si>
  <si>
    <t>lech@iopan.gda.pl</t>
  </si>
  <si>
    <t>Kotwicki, Lech/S-9275-2017; Weslawski, Jan M/F-4075-2012; De Troch, Marleen/AAB-9809-2019; Kotwicki, Lech/CAH-0296-2022</t>
  </si>
  <si>
    <t>Kotwicki, Lech/0000-0001-5876-5696; De Troch, Marleen/0000-0002-6800-0299; Kotwicki, Lech/0000-0001-5876-5696; Weslawski, Jan-Marcin/0000-0001-8434-5927; Urban-Malinga, Barbara/0000-0003-2149-4241; Szymelfenig, Maria/0000-0001-8628-9957</t>
  </si>
  <si>
    <t>0960-3115</t>
  </si>
  <si>
    <t>1572-9710</t>
  </si>
  <si>
    <t>BIODIVERS CONSERV</t>
  </si>
  <si>
    <t>Biodivers. Conserv.</t>
  </si>
  <si>
    <t>10.1007/10531-004-6272-6</t>
  </si>
  <si>
    <t>899OI</t>
  </si>
  <si>
    <t>WOS:000227153600016</t>
  </si>
  <si>
    <t>Frenot, Y; Chown, SL; Whinam, J; Selkirk, PM; Convey, P; Skotnicki, M; Bergstrom, DM</t>
  </si>
  <si>
    <t>Biological invasions in the Antarctic: extent, impacts and implications</t>
  </si>
  <si>
    <t>BIOLOGICAL REVIEWS</t>
  </si>
  <si>
    <t>alien species; human impact; tourism; Antarctica; sub-Antarctic; ecosystem consequences; climate change; life history; colonization</t>
  </si>
  <si>
    <t>SOUTHERN-OCEAN ISLANDS; PENGUINS PYGOSCELIS-ADELIAE; SIMULATED CLIMATE-CHANGE; MARION ISLAND; TERRESTRIAL ECOSYSTEM; VASCULAR PLANTS; GLOBAL PATTERNS; LIFE-HISTORY; ECOLOGICAL BIOGEOGRAPHY; KERGUELEN ARCHIPELAGO</t>
  </si>
  <si>
    <t>Alien microbes, fungi, plants and animals occur on most of the sub-Antarctic islands and some parts of the Antarctic continent. These have arrived over approximately the last two centuries, coincident with human activity in the region. Introduction routes have varied, but are largely associated with movement of people and cargo in connection with industrial, national scientific program and tourist operations. The large majority of aliens are European in origin. They have both direct and indirect impacts on the functioning of species-poor Antarctic ecosystems, in particular including substantial loss of local biodiversity and changes to ecosystem processes. With rapid climate change occurring in some parts of Antarctica, elevated numbers of introductions and enhanced success of colonization by aliens are likely, with consequent increases in impacts on ecosystems. Mitigation measures that will substantially reduce the risk of introductions to Antarctica and the sub-Antarctic must focus on reducing propagule loads on humans, and their food, cargo, and transport vessels.</t>
  </si>
  <si>
    <t>Univ Rennes 1, UMR 6553 CNRS, F-35380 Paimpont, France; French Polar Inst, IPEV, Biol Stn, F-35380 Paimpont, France; Univ Stellenbosch, Dept Bot &amp; Zool, DST Ctr Excellence Invas Biol 2, ZA-7602 Matieland, South Africa; Dept Primary Ind Water &amp; Environm, Nat Conservat Branch, Hobart, Tas 7001, Australia; Macquarie Univ, Dept Biol Sci, Sydney, NSW 2109, Australia; British Antarctic Survey, NERC, Cambridge CB3 0ET, England; Australian Natl Univ, Res Sch Biol Sci, Canberra, ACT 2601, Australia; Australian Antarctic Div, Kingston, Tas 7050, Australia</t>
  </si>
  <si>
    <t>Centre National de la Recherche Scientifique (CNRS); CNRS - Institute of Ecology &amp; Environment (INEE); Universite de Rennes; Stellenbosch University; National Research Foundation - South Africa; Macquarie University; UK Research &amp; Innovation (UKRI); Natural Environment Research Council (NERC); NERC British Antarctic Survey; Australian National University; Australian Antarctic Division</t>
  </si>
  <si>
    <t>Univ Rennes 1, UMR 6553 CNRS, F-35380 Paimpont, France.</t>
  </si>
  <si>
    <t>Convey, Peter/AAV-5728-2020; Bergstrom, Dana/AAC-2837-2022; Chown, Steven L/H-3347-2011; Chown, Steven/ABD-7646-2021</t>
  </si>
  <si>
    <t>Convey, Peter/0000-0001-8497-9903; Bergstrom, Dana/0000-0001-8484-8954; Frenot, Yves/0000-0003-2666-1272</t>
  </si>
  <si>
    <t>1464-7931</t>
  </si>
  <si>
    <t>1469-185X</t>
  </si>
  <si>
    <t>BIOL REV</t>
  </si>
  <si>
    <t>Biol. Rev.</t>
  </si>
  <si>
    <t>10.1017/S1464793104006542</t>
  </si>
  <si>
    <t>903II</t>
  </si>
  <si>
    <t>WOS:000227418900003</t>
  </si>
  <si>
    <t>Yu, Y; Cai, XM; King, JC; Renfrew, IA</t>
  </si>
  <si>
    <t>Numerical simulations of katabatic jumps in Coats Land, Antarctica</t>
  </si>
  <si>
    <t>Antarctica; Bernoulli's theorem; hydraulic theory; katabatic jump; momentum balance; pressure change</t>
  </si>
  <si>
    <t>SURFACE WINDS; ADELIE LAND; FLOW; CIRCULATIONS; ATMOSPHERE; CONTINENT; GREENLAND; MODEL; RAMS</t>
  </si>
  <si>
    <t>A non-hydrostatic numerical model, the Regional Atmospheric Modeling System ( RAMS), has been used to investigate the development of katabatic jumps in Coats Land, Antarctica. In the control run with a 5 m s(-1) downslope directed initial wind, a katabatic jump develops near the foot of the idealized slope. The jump is manifested as a rapid deceleration of the downslope flow and a change from supercritical to subcritical flow, in a hydraulic sense, i.e., the Froude number (Fr) of the flow changes from Fr &gt; 1 to Fr &lt; 1. Results from sensitivity experiments show that an increase in the upstream flow rate strengthens the jump, while an increase in the downstream inversion-layer depth results in a retreat of the jump. Hydraulic theory and Bernoulli's theorem have been used to explain the surface pressure change across the jump. It is found that hydraulic theory always underestimates the surface pressure change, while Bernoulli's theorem provides a satisfactory estimation. An analysis of the downslope momentum balance for the katabatic jump indicates that the important forces are those related to the pressure gradient, advection and, to a lesser extent, the turbulent momentum divergence. The development of katabatic jumps can be divided into two phases. In phase I, the pressure gradient force is nearly balanced by advection, while in phase II, the pressure gradient force is counterbalanced by turbulent momentum divergence. The upslope pressure gradient force associated with a pool of cold air over the ice shelf facilitates the formation of the katabatic jump.</t>
  </si>
  <si>
    <t>Univ Birmingham, Sch Geog Earth &amp; Environm Sci, Birmingham B15 2TT, W Midlands, England; British Antarctic Survey, NERC, Div Phys Sci, Cambridge CB3 0ET, England</t>
  </si>
  <si>
    <t>University of Birmingham; UK Research &amp; Innovation (UKRI); Natural Environment Research Council (NERC); NERC British Antarctic Survey</t>
  </si>
  <si>
    <t>Univ Birmingham, Sch Geog Earth &amp; Environm Sci, Birmingham B15 2TT, W Midlands, England.</t>
  </si>
  <si>
    <t>yyuds@yahoo.co.uk</t>
  </si>
  <si>
    <t>Renfrew, Ian A/E-4057-2010; Cai, Xiaoming/M-8248-2015</t>
  </si>
  <si>
    <t>Cai, Xiaoming/0000-0002-5934-9800; Renfrew, Ian/0000-0001-9379-8215</t>
  </si>
  <si>
    <t>10.1007/s10546-004-9564-1</t>
  </si>
  <si>
    <t>875RO</t>
  </si>
  <si>
    <t>WOS:000225439600006</t>
  </si>
  <si>
    <t>Andreas, EL; Jordan, RE; Makshtas, AP</t>
  </si>
  <si>
    <t>Parameterizing turbulent exchange over sea ice: The Ice Station Weddell results</t>
  </si>
  <si>
    <t>air-sea-ice interaction; eddy-covariance measurements; Ice Station Weddell; roughness lengths; sea ice; turbulent surface. fluxes</t>
  </si>
  <si>
    <t>SCALAR TRANSFER-COEFFICIENTS; WATER-VAPOR TRANSFER; DRAG COEFFICIENTS; SONIC ANEMOMETER; EDDY-CORRELATION; HEAT-FLUX; SURFACE-LAYER; SENSIBLE HEAT; WIND STRESS; SNOW</t>
  </si>
  <si>
    <t>A 4-month deployment on Ice Station Weddell (ISW) in the western Weddell Sea yielded over 2000 h of nearly continuous surface-level meteorological data, including eddy-covariance measurements of the turbulent surface fluxes of momentum, and sensible and latent heat. Those data lead to a new parameterization for the roughness length for wind speed, z(0), for snow-covered sea ice that combines three regimes: an aerodynamically smooth regime, a high-wind saltation regime, and an intermediate regime between these two extremes where the macroscale or 'permanent' roughness of the snow and ice determines z(0). Roughness lengths for temperature, z(T), computed from this data set corroborate the theoretical model that Andreas published in 1987. Roughness lengths for humidity, z(Q), do not support this model as conclusively but are all, on average, within an order of magnitude of its predictions. Only rarely are z(T) and z(Q) equal to z(0). These parameterizations have implications for models that treat the atmosphere-ice-ocean system.</t>
  </si>
  <si>
    <t>USA, Cold Reg Res &amp; Engn Lab, Hanover, NH 03755 USA; Int Arctic Res Ctr, Fairbanks, AK 99775 USA; Arctic &amp; Antarctic Res Inst, St Petersburg 199397, Russia</t>
  </si>
  <si>
    <t>United States Department of Defense; United States Army; U.S. Army Corps of Engineers; U.S. Army Engineer Research &amp; Development Center (ERDC); Cold Regions Research &amp; Engineering Laboratory (CRREL); Arctic &amp; Antarctic Research Institute</t>
  </si>
  <si>
    <t>Andreas, EL (corresponding author), USA, Cold Reg Res &amp; Engn Lab, 72 Lyme Rd, Hanover, NH 03755 USA.</t>
  </si>
  <si>
    <t>eandreas@crrel.usace.army.mil</t>
  </si>
  <si>
    <t>KLUWER ACADEMIC PUBL</t>
  </si>
  <si>
    <t>10.1007/s10546-004-1414-7</t>
  </si>
  <si>
    <t>WOS:000225439600007</t>
  </si>
  <si>
    <t>Xiao, CD; Cheng, YJ; Ren, JW; Lu, LH; Li, ZQ; Qin, DH; Zhou, XJ</t>
  </si>
  <si>
    <t>Signals of antarctic circum-polar wave over the southern Indian ocean as recorded in an Antarctica ice core</t>
  </si>
  <si>
    <t>CHINESE SCIENCE BULLETIN</t>
  </si>
  <si>
    <t>Princess Elizabeth Land; ice core; Antarctic Circumpolar Wave; Southern Indian Ocean; climate change</t>
  </si>
  <si>
    <t>SEA-SURFACE TEMPERATURES; PRINCESS-ELIZABETH-LAND; LAW DOME; EAST ANTARCTICA; VARIABILITY; PRESSURE; SNOW</t>
  </si>
  <si>
    <t>Oxygen stable isotopic and ionic records, covering a period of 1745-1996, are recovered in DT001 ice core drilled in Princess Elizabeth Land, East Antarctica. Using empirical orthogonal function (EOF) analysis of the annually resolved glaciochemical time series, we find the first EOF (EOF1) represents sea-salt aerosols and is the proxy of sea level pressure (SLP) over a quasi-stationary low in the Southern Indian Ocean (SIO). delta(18)O represents the sea surface temperature (SST) of the same ocean area. In the past two decades, four climatic waves as represented by SLP and SST proxies are found in the DT001 ice core, which in coincident with four Antarctic Circum-polar Waves (ACW) as revealed by NCEP/NCAR reanalysis. The phase difference between SST and SLP in the ice core is also coincident with that in ACW. Both ice-core record and reanalysis suggest that there were no signals of ACW during 1958-1980, none during the overall recording period between 1745-1996, as there is no regular phase difference between SST and SLP. The ACW signal after early 1980s is probably attributable to the climate shift occurring over Antarctic Peninsula-Drake Passage region.</t>
  </si>
  <si>
    <t>Chinese Acad Meteorol Sci, Beijing 100081, Peoples R China; Chinese Acad Sci, Key Lab Ice Core &amp; Cold Reg Environm, Lanzhou 730000, Peoples R China; Dalhousie Univ, Dept Phys &amp; Atmospher Sci, Halifax, NS B3H 3J5, Canada</t>
  </si>
  <si>
    <t>China Meteorological Administration; Chinese Academy of Meteorological Sciences (CAMS); Chinese Academy of Sciences; Dalhousie University</t>
  </si>
  <si>
    <t>Chinese Acad Meteorol Sci, Beijing 100081, Peoples R China.</t>
  </si>
  <si>
    <t>cdxiao@cams.cma.gov.cn</t>
  </si>
  <si>
    <t>1001-6538</t>
  </si>
  <si>
    <t>1861-9541</t>
  </si>
  <si>
    <t>CHINESE SCI BULL</t>
  </si>
  <si>
    <t>Chin. Sci. Bull.</t>
  </si>
  <si>
    <t>10.1360/03wd0608</t>
  </si>
  <si>
    <t>921IR</t>
  </si>
  <si>
    <t>WOS:000228758200010</t>
  </si>
  <si>
    <t>Oppenheimer, M; Alley, RB</t>
  </si>
  <si>
    <t>Ice sheets, global warming, and Article 2 of the UNFCCC</t>
  </si>
  <si>
    <t>CLIMATIC CHANGE</t>
  </si>
  <si>
    <t>SEA-LEVEL CHANGES; LAST GLACIAL MAXIMUM; ANTARCTIC ICE; WEST ANTARCTICA; SHELF COLLAPSE; CLIMATE-CHANGE; GREENLAND; HISTORY; ACCELERATION; RISE</t>
  </si>
  <si>
    <t>Princeton Univ, Woodrow Wilson Sch Publ &amp; Int Affairs, Princeton, NJ 08544 USA; Princeton Univ, Dept Geosci, Princeton, NJ 08544 USA; Penn State Univ, Dept Geosci, University Pk, PA 16802 USA; Penn State Univ, Earth &amp; Environm Syst Inst, University Pk, PA 16802 USA</t>
  </si>
  <si>
    <t>Princeton University; Princeton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</si>
  <si>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Princeton Univ, Woodrow Wilson Sch Publ &amp; Int Affairs, 448 Robertson Hall, Princeton, NJ 08544 USA.</t>
  </si>
  <si>
    <t>omichael@princeton.edu; rba6@psu.edu</t>
  </si>
  <si>
    <t>Oppenheimer, Michael/0000-0002-9708-5914</t>
  </si>
  <si>
    <t>0165-0009</t>
  </si>
  <si>
    <t>1573-1480</t>
  </si>
  <si>
    <t>Clim. Change</t>
  </si>
  <si>
    <t>10.1007/s10584-005-5372-y</t>
  </si>
  <si>
    <t>904CN</t>
  </si>
  <si>
    <t>WOS:000227473800001</t>
  </si>
  <si>
    <t>Erickson, JR; Sidell, BD; Moerland, TS</t>
  </si>
  <si>
    <t>Temperature sensitivity of calcium binding for parvalbumins from Antarctic and temperate zone teleost fishes</t>
  </si>
  <si>
    <t>COMPARATIVE BIOCHEMISTRY AND PHYSIOLOGY A-MOLECULAR &amp; INTEGRATIVE PHYSIOLOGY</t>
  </si>
  <si>
    <t>parvalbumin; temperature; E-F hand protein; teleost fish; muscle; calcium-binding protein; Antarctic fish; calcium affinity</t>
  </si>
  <si>
    <t>SKELETAL-MUSCLE RELAXATION; MAGNESIUM BINDING; RAT PARVALBUMIN; SITES</t>
  </si>
  <si>
    <t>Parvalbumin (PV) is a soluble calcium-binding protein that is especially abundant in fast-twitch muscles of fish and other lower vertebrates. Despite its prevalence in ectothermic taxa, few data address the effects of temperature on PV binding function. In this study, calcium dissociation constants (K-D) were measured as a function of temperature (0-25 degrees C) for PV from two Antarctic (Gobionotothen gibberifrons and Chaenocephalus aceratus) and two temperate zone fish species (Cyprinus carpio and Micropterus salmoides). Measurements by fluorometric competitive binding assay show that K-D values for PVs from the Antarctic species were significantly higher at all assay temperatures and were less sensitive to temperature relative to carp and bass. However, estimates of K-D are fundamentally similar for PVs from the Antarctic and temperate zone species when examined at their native physiological temperature. Variation in pH and ionic strength within a physiologically relevant range had only modest effects on K-D. Thermodynamics of calcium binding to PV from G. gibberifrons and C. carpio was measured by isothermal microcalorimetry. When measured at 15 degrees C, the Gibbs free energy change (Delta G) was significantly greater for calcium binding to PV from G. gibberifrons than from carp (-43.4 +/- 1.5 kJ mol(-1) and -46.6 +/- 3.0 kJ mol(-1), respectively), and the relative contribution of entropy to Delta G for calcium binding to PV from the Antarctic species was about twice that of carp (Delta S=16.0 +/- 0.8 J degrees C-1 mol(-1) for G. gibberifrons; Delta S=7.5 +/- 0.8 J degrees C-1 mol(-1) for C. carpio). (c) 2004 Elsevier Inc. All rights reserved.</t>
  </si>
  <si>
    <t>Florida State Univ, Dept Biol Sci, Tallahassee, FL 32306 USA; Univ Maine, Sch Marine Sci, Orono, ME 04469 USA</t>
  </si>
  <si>
    <t>State University System of Florida; Florida State University; University of Maine System; University of Maine Orono</t>
  </si>
  <si>
    <t>Florida State Univ, Dept Biol Sci, B-157, Tallahassee, FL 32306 USA.</t>
  </si>
  <si>
    <t>moerland@bio.fsu.edu</t>
  </si>
  <si>
    <t>1095-6433</t>
  </si>
  <si>
    <t>1531-4332</t>
  </si>
  <si>
    <t>COMP BIOCHEM PHYS A</t>
  </si>
  <si>
    <t>Comp. Biochem. Physiol. A-Mol. Integr. Physiol.</t>
  </si>
  <si>
    <t>10.1016/j.cbpb.2004.12.001</t>
  </si>
  <si>
    <t>Biochemistry &amp; Molecular Biology; Physiology; Zoology</t>
  </si>
  <si>
    <t>908FP</t>
  </si>
  <si>
    <t>WOS:000227773100003</t>
  </si>
  <si>
    <t>Zakharov, YD; Smyshlyaeva, OP; Tanabe, K; Shigeta, Y; Maeda, H; Ignatiev, AV; Velivetskaya, TA; Afanasyeva, TB; Popov, AM; Golozubov, VV; Kolyada, AA; Cherbadzhi, AK; Moriya, K</t>
  </si>
  <si>
    <t>Seasonal temperature fluctuations in the high northern latitudes during the Cretaceous Period: isotopic evidence from Albian and Coniacian shallow-water invertebrates of the Talovka River Basin, Koryak Upland, Russian Far East</t>
  </si>
  <si>
    <t>CRETACEOUS RESEARCH</t>
  </si>
  <si>
    <t>3rd International Symposium of IGCP 434</t>
  </si>
  <si>
    <t>OCT 06-09, 2002</t>
  </si>
  <si>
    <t>Lhasa, PEOPLES R CHINA</t>
  </si>
  <si>
    <t>Cretaceous; oxygen isotopes; carbon isotopes; seasonal palaeotemperatures; palaeoproductivity; palaeosalinity; invertebrates; Talovka; Koryak Upland</t>
  </si>
  <si>
    <t>PLANKTIC FORAMINIFERA; CARBON-ISOTOPE; OXYGEN; PACIFIC; PALEOTEMPERATURES; PHOTOSYMBIOSIS; VARIABILITY; BOUNDARY; ATLANTIC; CLIMATE</t>
  </si>
  <si>
    <t>Palaeotemperatures during the Albian-Coniacian in the northernmost Pacific have been determined on the basis of oxygen isotopic analysis of well-preserved brachiopod and molluscan shells from the Koryak Upland, Far East Russia. Those obtained from the calcitic brachiopod shells from the Albian range from 12.5 to 22.7 degrees C. The lower temperature level corresponds to winter seasons and the higher reflects summer temperatures. Probable winter isotopic palaeotemperatures, fluctuating from 10.9 to about 14.1 degrees C, were obtained from Coniacian bivalve shells. Presumed spring and autumn isotopic palaeotemperatures for the Coniacian, fluctuating from 14.1 to 17.7 degrees C, were obtained from rhynchonellid brachiopods and bivalves, all with calcitic shells, and aminonoids with aragonitic, shells. Presumed Summer isotopic palaeotemperatures varied between 18.5 degrees C to 22.4 degrees C. The new and previously published data suggest a short-term presence of polar ice during the Cretaceous (early Maastrichtian) only in the Southern Hemisphere on the Antarctic continent. Evidence pertaining to the Northern Hemisphere seems to suggest only occasional short-lived subfreezing conditions. These most probably occurred during polar winters in the early Valanginian, late Coniacian-early Santonian and early Maastrichtian. Temperatures in northern high latitudes during the course of even these winter seasons were probably not low enough for the formation of permanent sea ice. This may be a result of the lack of a continental massif in the North Pole area and a significant ameliorating effect of oceanic heat-transport poleward through the straits of Turgai and the Western Interior of North America. (c) 2005 Elsevier Ltd. All rights reserved.</t>
  </si>
  <si>
    <t>Russian Acad Sci, Far Eastern Branch, Far Eastern Geol Inst, Vladivostok 690022, Russia; Univ Tokyo, Bunkyo Ku, Tokyo 1130033, Japan; Museum Nat Sci, Shinjuku Ku, Tokyo 1690073, Japan; Kyoto Univ, Sakyo Ku, Kyoto 606822, Japan; Closed Joint Stock Co Koryakgeoldobytcha, Korf 688810, Russia</t>
  </si>
  <si>
    <t>Russian Academy of Sciences; University of Tokyo; Kyoto University</t>
  </si>
  <si>
    <t>Russian Acad Sci, Far Eastern Branch, Far Eastern Geol Inst, Stoletiya Prospect 159, Vladivostok 690022, Russia.</t>
  </si>
  <si>
    <t>yurizakh@mail.ru</t>
  </si>
  <si>
    <t>Velivetskaya, Tatiana/ABD-2143-2020; Moriya, Kazuyoshi/E-4820-2016</t>
  </si>
  <si>
    <t>Moriya, Kazuyoshi/0000-0003-2017-7025</t>
  </si>
  <si>
    <t>ACADEMIC PRESS LTD- ELSEVIER SCIENCE LTD</t>
  </si>
  <si>
    <t>0195-6671</t>
  </si>
  <si>
    <t>1095-998X</t>
  </si>
  <si>
    <t>CRETACEOUS RES</t>
  </si>
  <si>
    <t>Cretac. Res.</t>
  </si>
  <si>
    <t>10.1016/j.cretres.2004.11.005</t>
  </si>
  <si>
    <t>Geology; Paleontology</t>
  </si>
  <si>
    <t>908IV</t>
  </si>
  <si>
    <t>WOS:000227781600012</t>
  </si>
  <si>
    <t>Wharton, DA; Downes, MF; Goodall, G; Marshall, C</t>
  </si>
  <si>
    <t>Freezing and cryoprotective dehydration in an Antarctic nematode (Panagrolaimus davidi) visualised using a freeze substitution technique</t>
  </si>
  <si>
    <t>CRYOBIOLOGY</t>
  </si>
  <si>
    <t>intracellular freezing; extracellular freezing; cryoprotective dehydration; freeze substitution</t>
  </si>
  <si>
    <t>DIFFERENTIAL SCANNING CALORIMETRY; SURVIVAL; COLD; ANHYDROBIOSIS; MECHANISM; STRESS</t>
  </si>
  <si>
    <t>The pattern of ice formation during the freezing of Panagrolaimus davidi, an Antarctic nematode that can survive intracellular ice formation, was visualised using a freeze substitution technique and transmission electron microscopy. Nematodes plunged directly into liquid nitrogen had small ice crystals throughout their tissues, including nuclei and organelles, but did not survive. Those frozen at high subzero temperatures showed three patterns of ice formation: no ice, extracellular ice, and intracellular ice. Nematodes subjected to a slow-freezing regime (at -1 degreesC) had mainly extracellular ice (70.4%), with the bulk of the ice in the pseudocoel. Some (24.8%) had no ice within their bodies, due to cryoprotective dehydration. Nematodes subjected to a fast-freezing regime (at -4 degreesC) had intracellular (54%) and extracellular (42%) ice. Intracellular ice was confined to the cytoplasm of cells, with organelles in the spaces in between ice crystals. The survival of nematodes subjected to the fast-freezing regime (53%) was less than those subjected to the slow-freezing regime (92%). (C) 2004 Elsevier Inc. All rights reserved.</t>
  </si>
  <si>
    <t>Univ Otago, Dept Zool, Dunedin, New Zealand; Univ Otago, Dept Biochem, Dunedin, New Zealand</t>
  </si>
  <si>
    <t>University of Otago; University of Otago</t>
  </si>
  <si>
    <t>Wharton, DA (corresponding author), Univ Otago, Dept Zool, POB 56, Dunedin, New Zealand.</t>
  </si>
  <si>
    <t>david.wharton@stonebow.otago.ac.nz</t>
  </si>
  <si>
    <t>Marshall, Craig J./C-6668-2009</t>
  </si>
  <si>
    <t>Marshall, Craig J./0000-0003-4186-0368; Wharton, David/0000-0001-6369-4984</t>
  </si>
  <si>
    <t>0011-2240</t>
  </si>
  <si>
    <t>Cryobiology</t>
  </si>
  <si>
    <t>10.1016/j.cryobiol.2004.09.004</t>
  </si>
  <si>
    <t>Biology; Physiology</t>
  </si>
  <si>
    <t>Life Sciences &amp; Biomedicine - Other Topics; Physiology</t>
  </si>
  <si>
    <t>901CL</t>
  </si>
  <si>
    <t>WOS:000227260500003</t>
  </si>
  <si>
    <t>Stramma, L; Rhein, M; Brandt, P; Dengler, M; Böning, C; Walter, M</t>
  </si>
  <si>
    <t>Upper ocean circulation in the western tropical Atlantic in boreal fall 2000</t>
  </si>
  <si>
    <t>ocean circulation; water mass spreading; western tropical Atlantic; numerical model; altimeter</t>
  </si>
  <si>
    <t>UPPER-LAYER CIRCULATION; BRAZIL CURRENT RINGS; EQUATORIAL ATLANTIC; NORTH-ATLANTIC; CARIBBEAN SEA; WATER; FLOW; VARIABILITY; CURRENTS; MODEL</t>
  </si>
  <si>
    <t>The upper ocean large-scale circulation of the western tropical Atlantic from 11.5degreesS to the Caribbean in November and December 2000 is investigated from a new type of shipboard ADCP able to measure accurate velocities to 600 In depth, combined with lowered ADCP measurements. Satellite data and numerical model output complement the shipboard measurements to better describe the large-scale circulation. In November 2000 the North Brazil Undercurrent (NBUC) was strongly intensified between 11 and 5degreesS by inflow from the east, hence the NBUC was formed further to the north than in the mean. The NBUC was transporting 23.1 Sv northward at 5degreesS, slightly less than the mean of six cruises (Geophysical Research Letters (2002) 29 (7) 1840). At 35degreesW the North Brazil Current (NBC) transported 29.4Sv westward, less than the mean of 13 cruises (Geophysical Research Letters (2003) 30 (7) 1349). A strong retroflection ring had just pinched off the NBC retroflection according to the satellite information. The inflow into the Caribbean south of 16.5degreesN originated in part of a leakage from the NBC retroflection zone and in part from the North Equatorial Current. A thermocline intensified ring with a transport of about 30 Sv was located off Guadeloupe carrying South Atlantic Central Water towards the north. Observed deviations of the November/December 2000 flow field from the November long-term mean flow field were related to an enhanced Intertropical Convergence Zone (ITCZ) associated with an increased North Equatorial Countercurrent (NECC), as well as to boundary current rings and Rossby waves with zonal wavelength of the order of 1000 km. At 44degreesW the presence of a Rossby wave associated with an anticyclonic circulation led to a strongly enhanced NBC of 65.0Sv as well as to a combined NECC and Equatorial Undercurrent transport of 52.4 Sv, much stronger than during earlier cruises. While the 1/3degrees-FLAME model is unable to reproduce details of the vertical distribution of the observed horizontal flow at 44 degreesW for November 2000 as well as the horizontal distribution of some of the observed permanent current bands, a climatological simulation with the 1/12degrees-FLAME agrees much better with the observations and provides information on the spreading path between the sections. E.g., the interpretation that the widening in the Antarctic Intermediate Water layer of the westward flowing NBC at 44degreesW in November was caused by water from the Equatorial Intermediate Current was further supported by the model results. (C) 2004 Elsevier Ltd. All rights reserved.</t>
  </si>
  <si>
    <t>Univ Bremen, Inst Umweltphys, Abt Ozeanog, D-28334 Bremen, Germany</t>
  </si>
  <si>
    <t>Stramma, L (corresponding author), Univ Kiel, Leibniz Inst Meereswissensch, Dusternbrooker Weg 20, D-24015 Kiel, Germany.</t>
  </si>
  <si>
    <t>lstramma@ifm-geomar.de</t>
  </si>
  <si>
    <t>Boening, Claus W./B-1686-2012; Dengler, Marcus/A-7327-2014; Boening, Claus W/HIR-8996-2022; Boening, Claus/AAW-6387-2020; Brandt, Peter/C-8254-2013; Rhein, Monika/P-1969-2016</t>
  </si>
  <si>
    <t>Boening, Claus W./0000-0002-6251-5777; Dengler, Marcus/0000-0001-5993-9088; Boening, Claus W/0000-0002-6251-5777; Boening, Claus/0000-0002-6251-5777; Brandt, Peter/0000-0002-9235-955X; Stramma, Lothar/0000-0003-1391-4808; Rhein, Monika/0000-0003-1496-2828</t>
  </si>
  <si>
    <t>10.1016/j.dsr.2004.07.021</t>
  </si>
  <si>
    <t>903LR</t>
  </si>
  <si>
    <t>WOS:000227427900002</t>
  </si>
  <si>
    <t>Smedsrud, LH</t>
  </si>
  <si>
    <t>Warming of the deep water in the Weddell Sea along the Greenwich meridian: 1977-2001</t>
  </si>
  <si>
    <t>deep water; warming; air-sea-ice interaction; Antarctica; Weddell Sea; Maud Rise</t>
  </si>
  <si>
    <t>MAUD RISE; SOUTHERN-OCEAN; WORLD OCEAN; ICE; VARIABILITY; CIRCULATION; GYRE; TEMPERATURE; POLYNYA; MODEL</t>
  </si>
  <si>
    <t>The Weddell Deep Water (WDW) warmed substantially along the Greenwich meridian following the Weddell Polynya of the 1970s. Areas affected by the polynya contained similar to14GJ/m(2) more heat in 2001 than in 1977. This warming would require a flux of similar to390 W/m(2) if it were to take place over a year. Large variations in heat content of the WDW are found between the Antarctic coast and Maud Rise (64degreesS). The small variation found north of Maud Rise is opposite in phase to that to the south, and the warming was close to monotonic south of 68degreesS. The mean warming of WDW along the section is similar to0.032degreesC per decade, comparable to the warming of the Antarctic Circumpolar Current. The mean warming compares with a surface heat flux of 4 W/m(2) over the 25 year period, an order of magnitude higher than the warming of the global ocean. As variation in mean salinity of the WDW follows the warming/cooling events, variation in inflow probably explains a cooling event between 1984 and 1989, and a warming event between 1989 and 1992. Cooling during the late 1990s is probably related to the reappearance of a polynya like feature in some winter months as an area 100km in diameter close to Maud Rise with 10-20% lower sea ice concentrations than the Surrounding ocean. (C) 2004 Elsevier Ltd. All rights reserved.</t>
  </si>
  <si>
    <t>Inst Geophys, Bergen, Norway</t>
  </si>
  <si>
    <t>Univ Bergen, BCCR, Allegaton 70, Bergen, Norway.</t>
  </si>
  <si>
    <t>larsh@gfi.uib.no</t>
  </si>
  <si>
    <t>Smedsrud, Lars H./0000-0001-7391-0740</t>
  </si>
  <si>
    <t>10.1016/j.dsr.2004.10.004</t>
  </si>
  <si>
    <t>WOS:000227427900003</t>
  </si>
  <si>
    <t>Coale, KH; Gordon, RM; Wang, XJ</t>
  </si>
  <si>
    <t>The distribution and behavior of dissolved and particulate iron and zinc in the Ross Sea and Antarctic circumpolar current along 170°W</t>
  </si>
  <si>
    <t>iron; zinc; aluminum; Fe : C ratio; Southern Ocean</t>
  </si>
  <si>
    <t>EQUATORIAL PACIFIC-OCEAN; POLAR FRONTAL ZONE; SOUTHERN-OCEAN; SEASONAL EVOLUTION; HYDROGRAPHIC PROPERTIES; PHYTOPLANKTON GROWTH; PRIMARY PRODUCTIVITY; AUSTRALIAN SECTOR; WATERS; FE</t>
  </si>
  <si>
    <t>Dissolved and particulate iron and zinc were measured in water samples collected from the Antarctic Circumpolar Current (ACC) region and the Ross Sea during the US JGOFS Antarctic Environment Southern Ocean Process Study (AESOPS). Dissolved and particulate zinc showed strongly seasonal variation, indicating efficient recycling in the upper 150m of the water column in both regions. Seasonal zinc utilization is 21-118 mumol m(-2) in the ACC and 134-192 mumol m(-2) in the Ross Sea. Only 10-25% of the particulate zinc is exported below 150m. Generally low dissolved (&lt;0.05 nmol kg(-1)) and particulate iron concentrations (&lt;0.2 nmol kg(-1)) were observed in the mixed layer year-around in the ACC region whereas seasonal depletion of dissolved iron and relatively high particulate iron (&gt;1 nmol kg(-1)) were found in the Ross Sea. Seasonal iron utilization is 7-45 mumol m(-2) in the ACC and 450-938 mumol m(-2) in the Ross Sea, which yields an estimated Fe/C ratio of 15 and 100 (mumol Fe:mol C) for the ACC and the Ross Sea, respectively. More than 50% of the total iron production is exported below 150 m in the ACC region. Iron input through vertical mixing was minimal, in contrast to the vertical input of dissolved zinc and macronutrients in the ACC region. Upwelling may supply 50% of the export production of iron near the Southern ACC Front. In the Ross Sea, more iron is available due to the variety of inputs, in contrast to the ACC region. In addition to the input of dissolved and particulate iron from melting sea-ice, there is substantial input of particulate iron from the suspended materials of sediments. (C) 2004 Elsevier Ltd. All rights reserved.</t>
  </si>
  <si>
    <t>Moss Landing Marine Labs, Moss Landing, CA 95039 USA</t>
  </si>
  <si>
    <t>Moss Landing Marine Laboratories</t>
  </si>
  <si>
    <t>Wang, XJ (corresponding author), Univ Maryland, ESSIC, 2207 Comp &amp; Space Sci Bldg, College Pk, MD 20742 USA.</t>
  </si>
  <si>
    <t>wwang@essic.umd.edu</t>
  </si>
  <si>
    <t>Wang, Xiujun/F-2641-2010</t>
  </si>
  <si>
    <t>Wang, Xiujun/0000-0002-2859-8011</t>
  </si>
  <si>
    <t>10.1016/j.dsr.2004.09.008</t>
  </si>
  <si>
    <t>WOS:000227427900006</t>
  </si>
  <si>
    <t>Cardinal, D; Savoye, N; Trull, TW; André, L; Kopczynska, EE; Dehairs, F</t>
  </si>
  <si>
    <t>Variations of carbon rernineralisation in the Southern Ocean illustrated by the Baxs proxy</t>
  </si>
  <si>
    <t>barium; carbon remineralisation; carbon export; twilight zone; particles; phytoplankton; Southern Ocean</t>
  </si>
  <si>
    <t>POLAR FRONTAL ZONES; EXPORT PRODUCTION; BIOGENIC BARIUM; SUSPENDED BARITE; ATLANTIC SECTOR; ORGANIC-CARBON; PACIFIC SECTOR; WATER-COLUMN; MARINE SNOW; DEEP-SEA</t>
  </si>
  <si>
    <t>We present water column profiles of excess particulate Ba (Ba-xs, an estimate of biogenic Ba from total particulate Ba after small corrections for lithogenic Ba) along a transect in the Australian sector of the Southern Ocean from the Subantarctic Zone (SAZ) to the Sea Ice Zone during spring (October December 2001). Surface water Baxs contents appear related to phytoplankton derived particles. Below, in the twilight zone, mesopelagic Ba-xs records the changes in plankton biomass from the mixed layer over a time scale of a few weeks and confirms its usefulness as an indicator of the carbon remineralisation process. In comparison to the SAZ, the mesopelagic Ba-xs accumulation is larger and begins at shallower depths south of the Polar Front Zone (PFZ), in the Antarctic Zone (AZ), where diatoms are the dominant component of the phytoplankton community. Summer results from 1998, when mesopelagic Ba-xs accumulations were larger. also show this latitudinal trend. In contrast, as observed also for deep particulate organic carbon fluxes, the flux of Ba-xs to moored deep sea sediment traps was larger in the nano-phytoplankton dominated SAZ than the diatom dominated PFZ. Overall, the results suggest relatively high particulate carbon export to the deep sea in the absence of strong remineralisation in the SAZ, and relatively low export to the deep sea in the presence of strong remineralisation further south. Mesopelagic carbon remineralisation is higher in summer than in spring as also observed on deep sediment traps carbon fluxes. Our findings are supported by Th-234 and N-uptake proxies from the same transect. This study expands the utility of Ba as an indicator of biogeochemical processes in the twilight zone and supports its usability as a paleoceanographic proxy for deep C export. (C) 2004 Elsevier Ltd. All rights reserved.</t>
  </si>
  <si>
    <t>Musee Royal Afr Cent, Dept Geol &amp; Mineral, Sect Mineral &amp; Petrog, B-3080 Tervuren, Belgium; Free Univ Brussels, Dept Analyt &amp; Environm Chem, Brussels, Belgium; Univ Tasmania, CSIRO Marine Res, Antarctic Climate &amp; Ecosyst Cooperat Res Ctr, Hobart, Tas, Australia; Polish Acad Sci, Dept Antarctic Biol, Warsaw, Poland</t>
  </si>
  <si>
    <t>Royal Museum for Central Africa; Universite Libre de Bruxelles; Antarctic Climate &amp; Ecosystems Cooperative Research Centre (ACE CRC); Commonwealth Scientific &amp; Industrial Research Organisation (CSIRO); University of Tasmania; Polish Academy of Sciences</t>
  </si>
  <si>
    <t>Musee Royal Afr Cent, Dept Geol &amp; Mineral, Sect Mineral &amp; Petrog, Leuvensesteenweg 13, B-3080 Tervuren, Belgium.</t>
  </si>
  <si>
    <t>damien.cardinal@africamuseum.be</t>
  </si>
  <si>
    <t>Cardinal, Damien/AAM-6215-2021; Trull, Tom W/B-7028-2014</t>
  </si>
  <si>
    <t>Cardinal, Damien/0000-0003-1238-8412; Andre, Luc/0000-0002-7286-0072</t>
  </si>
  <si>
    <t>10.1016/j.dsr.2004.10.002</t>
  </si>
  <si>
    <t>WOS:000227427900009</t>
  </si>
  <si>
    <t>Morozov, EG; Sokov, AV; Lappo, SS; Gladyshev, SV; Pisarev, SV</t>
  </si>
  <si>
    <t>Variability of the Antarctic circumpolar current transport and location of frontal zones in Drake Passage</t>
  </si>
  <si>
    <t>Russian Acad Sci, PP Shirshov Oceanol Inst, Moscow 117897, Russia</t>
  </si>
  <si>
    <t>Morozov, EG (corresponding author), Russian Acad Sci, PP Shirshov Oceanol Inst, Nakhimovskii Pr 36, Moscow 117897, Russia.</t>
  </si>
  <si>
    <t>emorozov@mtu-net.ru</t>
  </si>
  <si>
    <t>Pisarev, Sergey/C-8361-2017; Gladyshev, Sergey/N-6508-2017; Morozov, Eugene G/L-3023-2018</t>
  </si>
  <si>
    <t>Pisarev, Sergey/0000-0001-7445-1507; Morozov, Eugene/0000-0002-0251-3454</t>
  </si>
  <si>
    <t>FEB-MAR</t>
  </si>
  <si>
    <t>920EG</t>
  </si>
  <si>
    <t>WOS:000228671600020</t>
  </si>
  <si>
    <t>Egorov, AG</t>
  </si>
  <si>
    <t>Heliomodulated baric fluctuations in the Arctic region and long-term recurrence of ice opposition in the Arctic seas of Russia</t>
  </si>
  <si>
    <t>TEMPERATURE</t>
  </si>
  <si>
    <t>Russian Federat, State Sci Ctr, Arctic &amp; Antarctic Res Inst, St Petersburg 199397, Russia</t>
  </si>
  <si>
    <t>Egorov, AG (corresponding author), Russian Federat, State Sci Ctr, Arctic &amp; Antarctic Res Inst, Ul Beringa 38, St Petersburg 199397, Russia.</t>
  </si>
  <si>
    <t>ego@aari.nw.ru</t>
  </si>
  <si>
    <t>WOS:000228671600037</t>
  </si>
  <si>
    <t>Convey, P; McInnes, SJ</t>
  </si>
  <si>
    <t>Exceptional tardigrade-dominated ecosystems in Ellsworth Land, Antarctica</t>
  </si>
  <si>
    <t>Antarctica; Ellsworth Land; evolution; geographical isolation; nunatak; rotifer; simple food web; tardigrade; terrestrial ecosystem</t>
  </si>
  <si>
    <t>DRONNING-MAUD-LAND; EAST ANTARCTICA; COLD TOLERANCE; ICE-SHEET; ALEXANDER-ISLAND; CRYOCONITE HOLES; NEMATODES; BIOGEOGRAPHY; NUNATAKS; SOILS</t>
  </si>
  <si>
    <t>We describe a terrestrial faunal community including only Tardigrada and Rotifera, present on inland nunataks of Ellsworth Land, Antarctica (similar to 75 degrees-77 degrees S, 70 degrees-73 degrees W). The fauna is exceptional in its simplicity, including five tardigrade species (three new to science) and at least two rotifer species, which comprise two consumer trophic levels. Nematode worms, the most important element of the simplest faunal communities previously reported worldwide (from the Ross Sea Dry Valley region of continental Antarctica), and micro arthropods, otherwise represented in all known Antarctic terrestrial communities, are absent. The tardigrade community composition shows affinity with the continental Antarctic fauna, with which it shares three species. The remaining two species are unique to Ellsworth Land and may suggest a prolonged existence as a distinct biogeographical</t>
  </si>
  <si>
    <t>Convey, P (corresponding author), British Antarctic Survey, NERC, High Cross,Madingley Rd, Cambridge CB3 0ET, England.</t>
  </si>
  <si>
    <t>p.convey@bas.ac.uk</t>
  </si>
  <si>
    <t>Convey, Peter/AAV-5728-2020; McInnes, Sandra/AAN-4773-2020</t>
  </si>
  <si>
    <t>Convey, Peter/0000-0001-8497-9903; McInnes, Sandra/0000-0003-3403-9379</t>
  </si>
  <si>
    <t>10.1890/04-0684</t>
  </si>
  <si>
    <t>906IM</t>
  </si>
  <si>
    <t>WOS:000227634400027</t>
  </si>
  <si>
    <t>Suzuki, Y; Takano, K; Kanaya, S</t>
  </si>
  <si>
    <t>Stabilities and activities of the N- and C-domains of FKBP22 from a psychrotrophic bacterium overproduced in Escherichia coli</t>
  </si>
  <si>
    <t>FEBS JOURNAL</t>
  </si>
  <si>
    <t>domain structure; FKBP22; PPlase; psychrotrophic bacterium; thermal stability</t>
  </si>
  <si>
    <t>CIS-TRANS ISOMERASE; PEPTIDYL-PROLYL-ISOMERASE; ANTARCTIC BACTERIUM; CHAPERONE FUNCTION; DNA-SEQUENCE; SWISS-MODEL; PROTEIN; MIP; FLEXIBILITY; EXPRESSION</t>
  </si>
  <si>
    <t>FKBP22 from a psychrotrophic bacterium Shewanella sp. SIB1, is a dimeric protein with peptidyl prolyl cis-trans isomerase (PPIase) activity. According to homology modeling, it consists of an N-terminal domain, which is involved in dimerization of the protein, and a C-terminal catalytic domain. A long alpha3 helix spans these domains. An N-domain with the entire alpha3 helix (N-domain(+)) and a C-domain with the entire alpha(3) helix (C-domain(+)) were overproduced in Escherichia coli in a His-tagged form, purified, and their biochemical properties were compared with those of the intact protein. C-domain(+) was shown to be a monomer and enzymatically active. Its optimum temperature for activity (10 degreesC) was identical to that of the intact protein. Determination of the PPIase activity using peptide and protein substrates suggests that dimerization is required to make the protein fully active for the protein substrate or that the N-domain is involved in substrate-binding. The differential scanning calorimetry studies revealed two distinct heat absorption peaks at 32.5 degreesC and 46.6 degreesC for the intact protein, and single heat absorption peaks at 44.7 degreesC for N-domain(+) and 35.6 degreesC for C-domain(+). These results indicate that the thermal unfolding transitions of the intact protein at lower and higher temperatures represent those of C- and N-domains, respectively. Because the unfolding temperature of C-domain(+) is much higher than its optimum temperature for activity, SIB1 FKBP22 may adapt to low temperatures by increasing a local flexibility around the active site. This study revealed the relationship between the stability and the activity of a psychrotrophic FKBP22.</t>
  </si>
  <si>
    <t>Osaka Univ, Grad Sch Engn, Dept Mat &amp; Life Sci, Osaka 5650871, Japan; JST, PRESTO, Osaka, Japan</t>
  </si>
  <si>
    <t>Osaka University; Japan Science &amp; Technology Agency (JST)</t>
  </si>
  <si>
    <t>Kanaya, S (corresponding author), Osaka Univ, Grad Sch Engn, Dept Mat &amp; Life Sci, 2-1 Yamadaoka, Osaka 5650871, Japan.</t>
  </si>
  <si>
    <t>kanaya@mls.eng.osaka-u.ac.jp</t>
  </si>
  <si>
    <t>Suzuki, Yutaka/0000-0001-7504-9464; Takano, Kazufumi/0000-0002-7548-7314</t>
  </si>
  <si>
    <t>1742-464X</t>
  </si>
  <si>
    <t>1742-4658</t>
  </si>
  <si>
    <t>FEBS J</t>
  </si>
  <si>
    <t>FEBS J.</t>
  </si>
  <si>
    <t>10.1111/j.1742-4658.2004.04468.x</t>
  </si>
  <si>
    <t>902LU</t>
  </si>
  <si>
    <t>WOS:000227359400002</t>
  </si>
  <si>
    <t>Yoshitomi, B</t>
  </si>
  <si>
    <t>Seasonal variation of crude digestive protease activity in Antarctic krill Euphausia superba</t>
  </si>
  <si>
    <t>FISHERIES SCIENCE</t>
  </si>
  <si>
    <t>azocasein; Euphausia superba; hepatopancreas; krill; protease; proteolytic activity; seasonal variation</t>
  </si>
  <si>
    <t>AUTOLYSIS; PURIFICATION; ENZYMES; FISH</t>
  </si>
  <si>
    <t>Crude krill digestive protease (CKP) was extracted on board a fishing vessel from fresh whole krill caught around the Antarctic Peninsula, and its protease activity was measured by using the azocasein method. CKP activity was high from December to February (in summer) and was low from March to August (in winter). CKP activity and mean feed intake index had a high correlation coefficient by Pearson's correlation coefficient test (P &lt; 0.05). These results suggest that the seasonal variation of CKP activity coincides with the seasonal prevalence of some phytoplanktons as feed for krill. In summer, phytoplankton is plentiful so that krill teed on them and the krill protease activity remains high, but in winter phytoplankton abundance is low and krill do not have to keep their proteolytic activity high.</t>
  </si>
  <si>
    <t>Nippon Suisan Kaisha Ltd, Cent Res Lab, Marine Chem &amp; Feed Div, Tokyo 1920906, Japan</t>
  </si>
  <si>
    <t>Nippon Suisan Kaisha, Ltd.</t>
  </si>
  <si>
    <t>Yoshitomi, B (corresponding author), Nippon Suisan Kaisha Ltd, Cent Res Lab, Marine Chem &amp; Feed Div, Tokyo 1920906, Japan.</t>
  </si>
  <si>
    <t>bunjiy@nissui.co.jp</t>
  </si>
  <si>
    <t>0919-9268</t>
  </si>
  <si>
    <t>1444-2906</t>
  </si>
  <si>
    <t>FISHERIES SCI</t>
  </si>
  <si>
    <t>Fish. Sci.</t>
  </si>
  <si>
    <t>10.1111/j.1444-2906.2005.00925.x</t>
  </si>
  <si>
    <t>900YJ</t>
  </si>
  <si>
    <t>WOS:000227249900002</t>
  </si>
  <si>
    <t>Kodama, K; Yamakawa, T; Shimizu, T; Aoki, I</t>
  </si>
  <si>
    <t>Age estimation of the wild population of Japanese mantis shrimp Oratosquilla oratoria (Crustacea: Stomatopoda) in Tokyo Bay, Japan, using lipofuscin as an age marker</t>
  </si>
  <si>
    <t>age estimation; growth; lipofuscin; Oratosquilla oratoria; stomatopoda; Tokyo Bay</t>
  </si>
  <si>
    <t>FLUORESCENT MORPHOLOGICAL LIPOFUSCIN; FRESH-WATER CRAYFISH; PIGMENT LIPOFUSCIN; ANTARCTIC KRILL; GROWTH; QUANTIFICATION; BRAINS</t>
  </si>
  <si>
    <t>In this study, the age composition of the Japanese mantis shrimp, Oratosquilla oratoria, in Tokyo Bay, central Japan, was investigated using lipofuscin, an autofluorescent pigment, as an age marker. Lipofuscin in a histological section of protocerebral bridge cell mass (PBCM) in the brain was identified by confocal microscopy, and its concentration was quantified by image analysis. Modal analysis of the lipofuscin concentration showed four regularly-spaced modes that could each be regarded as a distinct age group. This implied a constant lipofuscin accumulation in PBCM at a 6.5 x 10(-2)% volume fraction per year; it also implied the existence of individuals that are at least 4 years old. The lipofuscin concentration was found to be a more appropriate index than body length for estimating the age of O. oratoria, because the modal analysis on the body-length histogram failed to detect apparent age groups. This was probably a result of the declining growth rate with age and the individual variations in growth through molting leading to considerable overlap in the size between different age groups. The lipofuscin analysis suggested that fast-growing individuals in each cohort are recruited to the fishery, and most individuals attain the exploitable size between 2 and 3 years of age.</t>
  </si>
  <si>
    <t>Univ Tokyo, Grad Sch Agr &amp; Life Sci, Dept Aquat Biosci, Bunkyo Ku, Tokyo 1138657, Japan; Kanagawa Prefectural Fisheries Res Inst, Resources &amp; Environm Div, Kanagawa 2380237, Japan</t>
  </si>
  <si>
    <t>University of Tokyo</t>
  </si>
  <si>
    <t>Kodama, K (corresponding author), Natl Inst Environm Studies, Endocrine Disruptors &amp; Dioxin Res Project, Tsukuba, Ibaraki 3058506, Japan.</t>
  </si>
  <si>
    <t>kjr8455@a6.mnx.ne.jp</t>
  </si>
  <si>
    <t>10.1111/j.1444-2906.2005.00941.x</t>
  </si>
  <si>
    <t>WOS:000227249900018</t>
  </si>
  <si>
    <t>Mauck, RA; Ricklefs, RE</t>
  </si>
  <si>
    <t>Control of fledging age in Leach's Storm-Petrel, Oceanodroma leucorhoa:: chick development and prefledging mass loss</t>
  </si>
  <si>
    <t>FUNCTIONAL ECOLOGY</t>
  </si>
  <si>
    <t>development; mass recession; nestling obesity; seabirds</t>
  </si>
  <si>
    <t>MANX-SHEARWATERS; EXPERIMENTAL MANIPULATION; FEEDING FREQUENCY; FOOD DELIVERY; GROWTH-RATES; MEAL SIZE; CALONECTRIS-DIOMEDEA; ENERGY-EXPENDITURE; NESTLING OBESITY; ANTARCTIC PETREL</t>
  </si>
  <si>
    <t>1. Leach's Storm-Petrel (Oceanodroma leucorhoa) chicks accumulate fat through most of the nestling period, near the end of which they typically weigh 50-100% more than their parents. Much of this excess mass is lost abruptly prior to leaving the nest and fledging itself marks the termination of parental care. 2. In this study, we evaluated the hypothesis that the onset of the prefledging mass loss period coincides with the end of the development period and the completion of structural growth. 3. We characterized the pattern of prefledging mass loss and the timing of fledging with respect to a point (T), based on wing growth, at which structural development stops. Variation in T suggested that development rate is partially influenced by parental food provisioning, particularly early in the nestling period (age 16-20 days) just prior to the onset of rapid primary feather growth. 4. The timing of mass loss and fledging in relation to T suggested that prefledging mass loss begins upon completion of wing growth and that fledging occurs after chicks have reached a mass compatible with sustained flight. Thus, the time to fledging is positively correlated with nestling mass at the end of the development period. 5. The prefledging period of mass loss is a unique phase of anorexia placed between parental feeding and self-feeding in the life of the young petrel.</t>
  </si>
  <si>
    <t>Kenyon Coll, Dept Biol, Gambier, OH 43022 USA; Univ Missouri, Dept Biol, St Louis, MO 63121 USA</t>
  </si>
  <si>
    <t>University System of Ohio; Kenyon College; University of Missouri System; University of Missouri Saint Louis</t>
  </si>
  <si>
    <t>Kenyon Coll, Dept Biol, Gambier, OH 43022 USA.</t>
  </si>
  <si>
    <t>mauckr@kenyon.edu</t>
  </si>
  <si>
    <t>Mauck, Robert/0000-0003-0534-4411</t>
  </si>
  <si>
    <t>0269-8463</t>
  </si>
  <si>
    <t>1365-2435</t>
  </si>
  <si>
    <t>FUNCT ECOL</t>
  </si>
  <si>
    <t>Funct. Ecol.</t>
  </si>
  <si>
    <t>10.1111/j.0269-8463.2005.00933.x</t>
  </si>
  <si>
    <t>906VJ</t>
  </si>
  <si>
    <t>WOS:000227672000010</t>
  </si>
  <si>
    <t>Harding, KC; Fujiwara, M; Axberg, Y; Härkönen, T</t>
  </si>
  <si>
    <t>Mass-dependent energetics and survival in Harbour Seal pups</t>
  </si>
  <si>
    <t>cold stress; life-history evolution; marine mammals; seasonality; thermoregulation</t>
  </si>
  <si>
    <t>POPULATION PROJECTION MATRICES; ANTARCTIC FUR SEALS; PHOCA-VITULINA; BODY-COMPOSITION; DIVING BEHAVIOR; WEANING MASS; FOOD-INTAKE; HARP SEALS; HEAT-LOSS; THERMOREGULATION</t>
  </si>
  <si>
    <t>1. Winter survival rate in Harbour Seal pups is significantly correlated with the autumn body mass of pups. Multi-type mark-recapture statistics were applied to individual re-sighting histories of branded seals, and survival probability was estimated with weight as a covariate. The probability of surviving to an age of 1 year is only 0.63 for the smallest pups at 17 kg, whereas pups at 32 kg have a survival probability of 0.96. 2. An energetic model for juvenile Harbour Seals reveals how metabolic rate is related to body mass, skin surface area, blubber thickness and water temperature. There is an increasing thermal stress with decreasing body size of pups. Low winter water temperatures induce a negative energy balance in small pups, which is a probable cause of the observed mass-dependent survival. 3. This study explicitly links a physical property of the environment, sea-water temperature, to energetics and life history. The approach opens possibilities for studying aspects of life-history evolution, such as optimal weaning weight and pupping time, in marine mammals.</t>
  </si>
  <si>
    <t>Univ Gothenburg, Dept Marine Ecol, S-40530 Gothenburg, Sweden; Univ Calif Santa Barbara, Dept Ecol Evolut &amp; Marine Biol, Santa Barbara, CA 93106 USA; Swedish Museum Nat Hist, S-10405 Stockholm, Sweden</t>
  </si>
  <si>
    <t>University of Gothenburg; University of California System; University of California Santa Barbara; Swedish Museum of Natural History</t>
  </si>
  <si>
    <t>Univ Gothenburg, Dept Marine Ecol, Box 461, S-40530 Gothenburg, Sweden.</t>
  </si>
  <si>
    <t>karin.harding@marbot.gu.se</t>
  </si>
  <si>
    <t>Harding, Karin C/F-9957-2013; Fujiwara, Masami/C-3115-2012</t>
  </si>
  <si>
    <t>Fujiwara, Masami/0000-0002-9255-6043; Harding, Karin/0000-0003-1527-0903</t>
  </si>
  <si>
    <t>10.1111/j.0269-8463.2005.00945.x</t>
  </si>
  <si>
    <t>WOS:000227672000017</t>
  </si>
  <si>
    <t>Longhi, J</t>
  </si>
  <si>
    <t>Phase equilibria in the system CO2-H2OI:: New equilibrium relations at low temperatures</t>
  </si>
  <si>
    <t>VAPOR-LIQUID-EQUILIBRIUM; WATER HYDROGEN-SULFIDE; CARBON-DIOXIDE; PHENOMENOLOGICAL DESCRIPTION; CO2 HYDRATE; PRESSURE; MIXTURES; DIFFRACTION; CLATHRATE; FLUID</t>
  </si>
  <si>
    <t>Graphical analysis of free-energy relationships involving binary quadruple points and their associated univariant equilibria in the system CO2-H2O suggests the presence of at least 2 previously unrecognized quadruple points and a degenerate invariant point involving an azeotrope between CO2 rich gas and liquid. Thermodynamic data extracted from the equilibrium involving Clathrate (hydrate), gas, and ice (H = G+I) are employed along with published data to calculate the P-T range of the 3-ice equilibrium curve, S+I = H, where S is solid CO2 This equilibrium curve intersects the H = G+I curve approximately where the latter curve intersects the S+H = G curve. thus confirming the existence of one of the inferred quadruple points involving the phases S. G. H. and I. Recognition of some binary equilibria probably have been hampered by extremely low mutual solubilities of CO2 and H2O in the fluids phases which, for example, render the S+H = G virtually indistinguishable from the CO2-sublimation curve. To make the published portion of the L(liquid CO2)-G-H equilibrium connect with the other new quadruple point involving S, L. G, and H, it is necessary to change the sense of the equilibrium from L G+H at higher pressures to L+H = G at lower pressures by positing a L = G azeotrope at very low concentrations of H2O. At the low-pressure origin of the azeotrope, which is only a few bars above the CO2-triple point, the azeotrope curve intersects the 3-phase curve tangentially, creating a degenerate invariant point at which the 3-phase equilibrium changes from L+H = G at lower pressures to L = G+H at higher pressures. The azeotrope curve is offset at slightly lower temperature from the L = G+H curve until the 3-phase equilibrium terminates at the quadruple point involving G. L. H, and W (water). With further increase in pressure the azeotrope curve tracks the L = G+W equilibrium and apparently terminates at a critical end point in close proximity to critical endpoints for the CO2 saturation curve and the L = G+W curve. Thermodynamic data for clathrate extracted from the slope of the H = G+I curve are consistent with a solid-state phase transformation in CO2-clathrate between 235 and 255 K. Published work shows that the type-I clathrate phase, whose atomic structure is a framework of water molecules with CO2 molecules situated in large guest sites within the framework, is variable in composition with similar to1 guest site vacancy per unit cell at the high-temperature limit of its stability; the number of water molecules. however. remains constant. The formula (CO2)(8-y)(.)46H(2)O, where y is the number of vacancies per unit cell, is in keeping with the atomic structure, whereas the traditional formula, CO(2)(.)nH(2)O, where n (hydration number) = 5.75, is misleading. Ambient P-T conditions in the Antarctic and Greenland ice sheets are compatible with sequestering large amounts of carbon as liquid CO2 and/or clathrate. Copyright (C) 2005 Elsevier Ltd.</t>
  </si>
  <si>
    <t>Lamont Doherty Earth Observ, Palisades, NY 10964 USA</t>
  </si>
  <si>
    <t>Longhi, J (corresponding author), Lamont Doherty Earth Observ, Palisades, NY 10964 USA.</t>
  </si>
  <si>
    <t>longhi@ldeo.columbia.edu</t>
  </si>
  <si>
    <t>FEB 1</t>
  </si>
  <si>
    <t>10.1016/j.gca.2004.07.007</t>
  </si>
  <si>
    <t>892WI</t>
  </si>
  <si>
    <t>WOS:000226680300002</t>
  </si>
  <si>
    <t>Whitehead, JM; Wotherspoon, S; Bohaty, SM</t>
  </si>
  <si>
    <t>Minimal Antarctic sea ice during the Pliocene</t>
  </si>
  <si>
    <t>Eucampia antarctica; diatom; sea ice; Pliocene; Southern Ocean; Ocean Drilling Program Leg 188; Antarctica</t>
  </si>
  <si>
    <t>SORSDAL FORMATION; VESTFOLD HILLS; CLIMATE-CHANGE; PRYDZ BAY; EXTENT</t>
  </si>
  <si>
    <t>Antarctic sea-ice concentration at Ocean Drilling Program Sites 1165 (64.380degreesS, 67.219degreesE) and 1166 (67.696degreesS, 74.787degreesE) was lower than today through much of the Pliocene. The low sea-ice concentration is evident from the proportion of the diatom Eucampia antarctica with intercallary valves (Eucampia index). This sea-ice proxy was calibrated by using modern diatom data obtained from core-top samples and winter sea-ice concentration data (September average through 1979-1987). The modern relationship is expressed as a binomial generalized linear model (modern sea-ice model). This model was applied to the Pliocene Eucampia index within a 95% tolerance interval (obtained from bootstrap estimates). The results indicate that reduced winter sea-ice concentrations persisted through much of the Pliocene and at times were 78% and 61% relatively less concentrated than today at Sites 1165 and 1166, respectively.</t>
  </si>
  <si>
    <t>Univ Nebraska, Dept Geol, Lincoln, NE 68588 USA; Univ Tasmania, Inst Antarctic &amp; So Ocean Studies, Hobart, Tas 7005, Australia; Univ Tasmania, Sch Math &amp; Phys, Hobart, Tas 7005, Australia; Univ Calif Santa Cruz, Dept Earth Sci, Santa Cruz, CA 95064 USA</t>
  </si>
  <si>
    <t>University of Nebraska System; University of Nebraska Lincoln; University of Tasmania; University of Tasmania; University of California System; University of California Santa Cruz</t>
  </si>
  <si>
    <t>Univ Nebraska, Dept Geol, Lincoln, NE 68588 USA.</t>
  </si>
  <si>
    <t>10.1130/G21013.1</t>
  </si>
  <si>
    <t>894WA</t>
  </si>
  <si>
    <t>WOS:000226821100015</t>
  </si>
  <si>
    <t>André, MF; Hall, K</t>
  </si>
  <si>
    <t>Honeycomb development on Alexander Island, glacial history of George VI sound and palaeoclimatic implications (Two Step Cliffs/Mars Oasis, W Antarctica)</t>
  </si>
  <si>
    <t>antarctic peninsula; ice shelf fluctuations; alveolar weathering; lithobiontic film; geomorphic and vegetational response to Holocene climate fluctuations</t>
  </si>
  <si>
    <t>JAMES-ROSS-ISLAND; ICE SHELVES; CLIMATE VARIABILITY; HOLOCENE; PENINSULA; ROCK; REGION; BAY</t>
  </si>
  <si>
    <t>Analysis of three generations of glacial deposits and of a range of geomorphic features including widespread honeycombs and tafonis at Two Step Cliffs/Mars Oasis (71degrees 52' S, 68degrees 15' W) provides new insights into the geomorphological evolution of West Antarctica, with special respect to alveolar weathering. At Two Step Terrace, indicators of the inherited character of cavernous weathering were found, such as 97% non-flaking and varnished backwalls, and 80% tafoni floors that are till-covered and/or sealed by lithobiontic coatings. Based on the NE predominant aspect of the alveolized boulder faces, tafoni initiation is attributed to coastal salt spray weathering by halite coming from the George VI Sound during the 6.5 ka BP open water period. The present-day activity of these inherited cavities is restricted to roof flaking attributed to a combination of processes involving thermal stresses. This 6.5 ka BP phase of coastal alveolization is the first step of a six-stage Holocene geomorphological scenario that includes alternatively phases of glacial advance or stationing, and phases of vegetal colonization and/or rock weathering and aeolian abrasion on the deglaciated outcrops. This geomorphic scenario is tentatively correlated with the available palaeoenvironmental record in the Antarctic Peninsula region, with two potential geomorphic indicators of the Holocene Optimum being identified: (1) clusters of centimetric honeycombs facing the sound (marine optimum at 6.5 ka BP); (2) salmon-pink lithobiontic coatings preserved inside cavities and at the boulder surface (terrestrial optimum at 4-3 ka BP). (C) 2004 Elsevier B.V. All rights reserved.</t>
  </si>
  <si>
    <t>Univ Clermont Ferrand, Lab Phys Geog, CNRS, UMR 6042,GEOLAB, F-63057 Clermont Ferrand 1, France; Univ No British Columbia, Geog Program, Prince George, BC V2N 4Z9, Canada</t>
  </si>
  <si>
    <t>Centre National de la Recherche Scientifique (CNRS); CNRS - Institute of Ecology &amp; Environment (INEE); Universite Clermont Auvergne (UCA); Universite de Limoges; University of Northern British Columbia</t>
  </si>
  <si>
    <t>Univ Clermont Ferrand, Lab Phys Geog, CNRS, UMR 6042,GEOLAB, 4 Rue Ledru, F-63057 Clermont Ferrand 1, France.</t>
  </si>
  <si>
    <t>m-francoise.andre@univ-bpclermont.fr</t>
  </si>
  <si>
    <t>10.1016/j.geomorph.2004.08.004</t>
  </si>
  <si>
    <t>901PJ</t>
  </si>
  <si>
    <t>WOS:000227294100008</t>
  </si>
  <si>
    <t>Richardson, G; Wadley, MR; Heywood, KJ; Stevens, DP; Banks, HT</t>
  </si>
  <si>
    <t>Short-term climate response to a freshwater pulse in the Southern Ocean</t>
  </si>
  <si>
    <t>ANTARCTIC ICE-SHEET; NORTH-ATLANTIC; THERMOHALINE CIRCULATION; OSCILLATION; SIMULATION; ANOMALIES</t>
  </si>
  <si>
    <t>The short-term response of the climate system to a freshwater anomaly in the Southern Ocean is investigated using a coupled global climate model. As a result of the anomaly, ventilation of deep waters around Antarctica is inhibited, causing a warming of the deep ocean, and a cooling of the surface. The surface cooling causes Antarctic sea-ice to thicken and increase in extent, and this leads to a cooling of Southern Hemisphere surface air temperature. The surface cooling increases over the first 5 years, then remains constant over the next 5 years. There is a more rapid response in the Pacific Ocean, which transmits a signal to the Northern Hemisphere, ultimately causing a shift to the negative phase of the North Atlantic Oscillation in years 5-10.</t>
  </si>
  <si>
    <t>UK Met Off, Hadley Ctr, Exeter EX1 3PB, Devon, England; Univ E Anglia, Sch Environm Sci, Norwich NR4 7TJ, Norfolk, England; Univ E Anglia, Sch Math, Norwich NR4 7TJ, Norfolk, England</t>
  </si>
  <si>
    <t>Met Office - UK; Hadley Centre; University of East Anglia; University of East Anglia</t>
  </si>
  <si>
    <t>Richardson, G (corresponding author), UK Met Off, Hadley Ctr, Exeter EX1 3PB, Devon, England.</t>
  </si>
  <si>
    <t>g.richardson@uca.ac.uk</t>
  </si>
  <si>
    <t>Heywood, Karen/L-1757-2016; Stevens, David/F-2509-2010</t>
  </si>
  <si>
    <t>Heywood, Karen/0000-0001-9859-0026; Stevens, David/0000-0002-7283-4405; Hewitt, Helene/0000-0001-7432-6001</t>
  </si>
  <si>
    <t>L03702</t>
  </si>
  <si>
    <t>10.1029/2004GL021586</t>
  </si>
  <si>
    <t>895YK</t>
  </si>
  <si>
    <t>WOS:000226900800004</t>
  </si>
  <si>
    <t>Pollard, D; DeConto, RM</t>
  </si>
  <si>
    <t>Hysteresis in cenozoic antarctic ice-sheet variations</t>
  </si>
  <si>
    <t>Antarctica; ice sheet; cenozoic; hysteresis; paleoclimate</t>
  </si>
  <si>
    <t>ATMOSPHERIC CARBON-DIOXIDE; SNOWLINE INSTABILITY; CAP INSTABILITY; CLIMATE; MODEL; GREENLAND; CO2; DISINTEGRATION; TOPOGRAPHY; INITIATION</t>
  </si>
  <si>
    <t>A coupled global climate-Antarctic ice sheet model is run for 10 million years across the Eocene-Oligocene boundary similar to 34 Ma. The model simulates a rapid transition from very little ice to a large continental ice sheet, forced by a gradual decline of atmospheric CO2 and higher-frequency orbital forcing. The structure of the transition is explained in terms of height mass balance feedback (HMBF) inherent in the intersection of the ice-sheet surface with the climatic pattern of net annual accumulation minus ablation, as found in earlier simple ice sheet models. Hysteresis effects are explored by running the model in reverse, starting with a full ice sheet and gradually increasing CO2. The effects of higher-frequency orbital forcing on the non-linear transitions are examined in simulations with and without orbital variability. Similar effects are demonstrated with a much simpler one-dimensional ice-sheet flowline model with idealized bedrock topography and parameterized mass balance forcing. It is suggested that non-linear Antarctic ice-sheet transitions and hysteresis have played important roles in many of the observed fluctuations in marine delta O-18 records since 34 Ma, and that the range of atmospheric CO2 variability needed to induce these transitions in the presence of orbital forcing is similar to 2x to 4x pre-industrial level. (c) 2004 Elsevier B.V. All rights reserved.</t>
  </si>
  <si>
    <t>Penn State Univ, Earth &amp; Environm Syst Inst, University Pk, PA 16802 USA; Univ Massachusetts, Dept Geosci, Amherst, MA 01003 USA</t>
  </si>
  <si>
    <t>Pennsylvania Commonwealth System of Higher Education (PCSHE); Pennsylvania State University; Pennsylvania State University - University Park; University of Massachusetts System; University of Massachusetts Amherst</t>
  </si>
  <si>
    <t>Penn State Univ, Earth &amp; Environm Syst Inst, 2217 Earth Engn Sci Univ Pk, University Pk, PA 16802 USA.</t>
  </si>
  <si>
    <t>pollard@essc.psu.edu; deconto@geo.umass.edu</t>
  </si>
  <si>
    <t>1872-6364</t>
  </si>
  <si>
    <t>1-3</t>
  </si>
  <si>
    <t>10.1016/j.gloplacha.2004.09.011</t>
  </si>
  <si>
    <t>911BU</t>
  </si>
  <si>
    <t>WOS:000227977000002</t>
  </si>
  <si>
    <t>Hay, WW; Flögel, S; Söding, E</t>
  </si>
  <si>
    <t>Is the initiation of glaciation on Antarctica related to a change in the structure of the ocean?</t>
  </si>
  <si>
    <t>paleoclimatology; paleoceanography; palcobiogeography; calcareous nannofossils; eocene-oligocene boundary</t>
  </si>
  <si>
    <t>MARSHALL PARACONFORMITY; PSYCHROSPHERE</t>
  </si>
  <si>
    <t>Today, the ocean is characterized by pools of warm tropical-subtropical water bounded poleward and at depth by cold water. In the tropics and subtropics, the warm waters are floored at depth by the thermocline-pycnocline, which crops out on the ocean surface between the subtropical and polar frontal systems that form the poleward boundary. It is along and between the frontal systems that the thermocline waters enter the ocean interior. These frontal systems form beneath the maxima of the zonal component of the westerly winds. Today, the location of the westerly winds is stabilized by the persistent high-pressure systems at the polar regions produced by the ice cover of the Antarctic and sea-ice cover of the Arctic. The paleobiogeographic distribution of plankton fossils indicates that, prior to the Oligocene, the subtropical and polar frontal systems were not persistent features. Recent climate model experiments show that without perennial ice cover in the polar regions a seasonal alternation between high and low atmospheric pressure systems can occur. These seasonal alternations would force major changes in the location and strength of the westerly winds, preventing the development of the well-defined frontal systems that characterize the Earth today. Without the subtropical and polar frontal systems, the thermocline would be less well developed and the pycnocline could be dominated by salinity differences. Evidence from ocean drilling suggests that the glaciation of East Antarctica began at the Eocene-Oligocene boundary, but took time to spread over the entire continent. The presence of calcareous nannoplankton in the Arctic basin prior to the Oligocene and their absence thereafter suggests that the ice cover of the Arctic Ocean also developed at the Eocene-Oligocene boundary. Both events appear to be related to the development of the modem oceanic structure, but it remains uncertain whether the ocean changed in response to the development of ice covered polar regions or vice versa. (c) 2004 Elsevier B.V. All rights reserved.</t>
  </si>
  <si>
    <t>GEOMAR, D-24148 Kiel, Germany</t>
  </si>
  <si>
    <t>Helmholtz Association; GEOMAR Helmholtz Center for Ocean Research Kiel</t>
  </si>
  <si>
    <t>Hay, WW (corresponding author), GEOMAR, Wischhofstr 1-3, D-24148 Kiel, Germany.</t>
  </si>
  <si>
    <t>whay@gmx.de</t>
  </si>
  <si>
    <t>Flögel, Sascha/AAC-7786-2022</t>
  </si>
  <si>
    <t>Flögel, Sascha/0000-0002-2818-5532; Soding, Emanuel/0000-0002-4467-642X</t>
  </si>
  <si>
    <t>10.1016/j.gloplacha.2004.09.005</t>
  </si>
  <si>
    <t>WOS:000227977000003</t>
  </si>
  <si>
    <t>Jamieson, SSR; Hulton, NRJ; Sugden, DE; Payne, AJ; Taylor, J</t>
  </si>
  <si>
    <t>Cenozoic landscape evolution of the Lambert basin, East Antarctica: the relative role of rivers and ice sheets</t>
  </si>
  <si>
    <t>Antarctic; erosion; evolution; ice sheet; landscape; model</t>
  </si>
  <si>
    <t>DIGITAL ELEVATION MODELS; DRAINAGE NETWORKS; GLACIATION; ATLANTIC; OCEAN; SEDIMENTATION; THICKNESS; CLIMATE; DEBRIS; RECORD</t>
  </si>
  <si>
    <t>The inception of the Antarctic Ice Sheet at around 34 Ma followed a period of globally warm climatic conditions. The efficacy of glacial erosion since this time is modelled using BEDMAP Antarctic digital elevation data and seismically estimated offshore sediment volumes to derive a DEM of the preglacial topography. Using a GIs, sediment is 'virtually backstacked' on to the present-day topography under dynamic ice sheet conditions to produce a model of the preglacial landscape of the Lambert basin area in East Antarctica. Survival of a preglacial river valley system under the ice suggests that glacial modification of the Lambert region has been modest. The Lambert Graben has focussed erosion for the last 118 million years. Morphometric analysis of the modelled preglacial and present-day subglacial topographies shows parallels with present-day drainage systems in Africa and Australia. We calculate that average rates of glacial and fluvial erosion for the last 118 million years have been similar and are ca. 1-2 m Myr(-1) and ca. 0.89-1.79 m Myr(-1) respectively. (c) 2004 Elsevier B.V. All rights reserved.</t>
  </si>
  <si>
    <t>Univ Edinburgh, Inst Geog, Sch Geosci, Edinburgh EH8 9XP, Midlothian, Scotland; Sch Geog Sci, Bristol Glaciol Ctr, Bristol BS8 1SS, Avon, England</t>
  </si>
  <si>
    <t>University of Edinburgh; University of Bristol</t>
  </si>
  <si>
    <t>S.Jamieson@ed.ac.uk</t>
  </si>
  <si>
    <t>Jamieson, Stewart S.R./B-8330-2013; payne, antony/A-8916-2008</t>
  </si>
  <si>
    <t>Jamieson, Stewart S.R./0000-0002-9036-2317; payne, antony/0000-0001-8825-8425</t>
  </si>
  <si>
    <t>10.1016/j.gloplacha.2004.09.015</t>
  </si>
  <si>
    <t>WOS:000227977000004</t>
  </si>
  <si>
    <t>Escutia, C; De Santis, L; Donda, F; Dunbar, RB; Cooper, AK; Brancolini, G; Eittreim, SL</t>
  </si>
  <si>
    <t>Cenozoic ice sheet history from East Antarctic Wilkes Land continental margin sediments</t>
  </si>
  <si>
    <t>Wilkes Land; Cenozoic; East Antarctic Ice Sheet; glacial evolution</t>
  </si>
  <si>
    <t>GEORGE-V; TURBIDITE SYSTEMS; LATE PLEISTOCENE; SHELF; PENINSULA; FACIES; RECORD; OCEAN; RISE; OSCILLATIONS</t>
  </si>
  <si>
    <t>The long-term history of glaciation along the East Antarctic Wilkes Land margin, from the time of the first arrival of the ice sheet to the margin, through the significant periods of Cenozoic climate change is inferred using an integrated geophysical and geological approach. We postulate that the first arrival of the ice sheet to the Wilkes Land margin resulted in the development of a large unconformity (Vv'L-U3) between 33.42 and 30 Ma during the early Oligocene cooling climate trend. Above WL-U3, substantial margin progradation takes place with early glacial strata (e.g., outwash deposits) deposited as low-angle prograding foresets by temperate glaciers. The change in geometry of the prograding wedge across unconformity WL-U8 is interpreted to represent the transition, at the end of the middle Miocene climatic optimum (14-10 Ma), from a subpolar regime with dynamic ice sheets (i.e., ice sheets come and go) to a regime with persistent but oscillatory ice sheets. The steep foresets above WL-U8 likely consist of ice proximal sediments (i.e., water-lain till and debris flows) deposited when grounded ice-sheets extended into the shelf On the continental rise, shelf progradation above WL-U3 results in an up-section increase in the energy of the depositional environment (i.e., seismic facies indicative of more proximal turbidite and of bottom contour current deposition from the deposition of the lower WL-S5 sequence to WL-S7). Maximum rates of sediment delivery to the rise occur during the development of sequences WL-S6 and WL-S7, which we infer to be of middle Miocene age. During deposition of the two uppermost sequences, WL-S8 and WL-S9, there is a marked decrease in the sediment supply to the lower continental rise and a shift in the depocenters to more proximal areas of the margin. We believe WL-S8 records sedimentation during the final transition from a dynamic to a persistent but oscillatory ice sheet in this margin (14-10 Ma). Sequence WL-S9 forms under a polar regime during the Pliocene-Pleistocene, when most sediment delivered to the margin is trapped in the outer shelf and slope-forming steep prograding wedges. During the wanner but still polar, Holocene, biogenic sediment accumulates quickly in deep inner-shelf basins during the high-stand intervals. These sediments contain an ultrahigh resolution (annual to millennial) record of climate variability. Validation of our inferences about the nature and timing of Wilkes Land glacial sequences can be achieved by deep sampling (i.e., using IODP-type techniques). The most complete record of the long-term history of glaciation in this margin can be obtained by sampling both (1) the shelf, which contains the direct (presence or no presence of ice) but low-resolution record of glaciation, and (2) the rise, which contains the distal (cold vs. warm) but more complete record of glaciation. The Wilkes Land margin is the only known Antarctic margin where the presumed onset of glaciation unconformity (WL-U3) can be traced from shelf to the abyssal plain, allowing links between the proximal and the distal records of glaciation to be established. Additionally, the eastern segment of the Wilkes Land margin may be more sensitive to climate change because the East Antarctic Ice Sheet (EAIS) is grounded below sea level. Therefore, the Wilkes Land margin is not only an ideal location to obtain the long-term EAIS history but also to obtain the shorter-term record of ice sheet fluctuations at times that the East Antarctic Ice Sheet is thought to have been more stable (after 15 Ma-recent). (c) 200 Elsevier B.V. All rights reserved.</t>
  </si>
  <si>
    <t>Univ Granada, Ist Andaluz Ciencias Tierra, CSIC, Fac Ciencias, Granada 18002, Spain; Inst Nazl Oceanog &amp; Geofis Sperimentale, I-34010 Trieste, Italy; Stanford Univ, Stanford, CA 94305 USA; US Geol Survey, Menlo Pk, CA 94025 USA</t>
  </si>
  <si>
    <t>Consejo Superior de Investigaciones Cientificas (CSIC); University of Granada; Istituto Nazionale di Oceanografia e di Geofisica Sperimentale; Stanford University; United States Department of the Interior; United States Geological Survey</t>
  </si>
  <si>
    <t>Univ Granada, Ist Andaluz Ciencias Tierra, CSIC, Fac Ciencias, Granada 18002, Spain.</t>
  </si>
  <si>
    <t>ccscutia@ugr.es</t>
  </si>
  <si>
    <t>; Escutia, Carlota/B-8614-2015</t>
  </si>
  <si>
    <t>Dunbar, Robert/0000-0002-9728-5609; Escutia, Carlota/0000-0002-4932-8619; Donda, Federica/0000-0002-1284-5866; De Santis, Laura/0000-0002-7752-7754</t>
  </si>
  <si>
    <t>10.1016/j.gloplacha.2004.09.010</t>
  </si>
  <si>
    <t>WOS:000227977000005</t>
  </si>
  <si>
    <t>Horgan, H; Naish, T; Bannister, S; Balfour, N; Wilson, G</t>
  </si>
  <si>
    <t>Seismic stratigraphy of the Plio-Pleistocene ross island flexural moat-fill: a prognosis for ANDRILL program drilling beneath McMurdo-Ross ice shelf</t>
  </si>
  <si>
    <t>McMurdo-Ross ice shelf; seismic stratigraphy; ross island flexural moat; ANDRILL; plio-pleistocene</t>
  </si>
  <si>
    <t>LITHOSPHERIC FLEXURE; TRANSANTARCTIC MOUNTAINS; WEST ANTARCTICA; VICTORIA LAND; EAST; BOUNDARY; VICINITY; SOUND; SHEET</t>
  </si>
  <si>
    <t>Ross Island volcanic complex began forming with the emplacement of the basaltic shield volcanoes of Mt. Bird and Mt. Terror between ca. 4.6 and 1.3 Ma, though it has developed most significantly over the last I Ma during an eruptive phase resulting in the 3794-m-high composite vent of Mt. Erebus. Throughout this time, loading of the lithosphere at the southern end of the Terror Rift by the Ross Island volcanic pile has progressively depressed the crust, resulting in a subcircular flexural moat around the periphery of the island. Multichannel seismic reflection data collected from the McMurdo-Ross Ice Shelf (MRIS) reveal the stratigraphic architecture of the moat-fill on the southeastern side of Ross Island. The moat region has accommodated a well-stratified, regionally extensive sedimentary succession of at least 1.2 km below the seafloor in the deepest part of the depression. Three seismic stratigraphic units are identified that generally thicken and dip towards Ross Island and are bounded by angular (onlap) unconformities. We infer that the three units were deposited in accommodation space created during discrete phases of volcanic load-induced subsidence: 1. Unit III. Moderate to low-amplitude discontinuous reflectors are dislocated and tilted by normal faulting and interpreted to represent coarse-grained glacigenic and fine-grained marine sediments with likely intercalated volcanic ash. These strata may have started to accumulate during loading of the crust by Mt. Bird between ca. 4.6 and 3.8 Ma. 2. Unit II. Moderate to high-amplitude continuous reflectors that onlap Unit III and are interpreted to represent coarse-grained glacigenic and fine-grained marine sediments with likely intercalated volcanic ash. These strata are inferred to have accumulated in the crustal depression resulting from loading by Mt. Terror between ca. 1.8 and 1.3 Ma. 3. Unit I. Relatively continuous low-amplitude to seismically-opaque reflectors (Unit 1B), onlap Unit II and grade upwards into moderate to high amplitude reflectors below the seafloor (Unit IA). Unit IB is interpreted to represent fine-grained pelagic marine sediments and volcanic ashes which may have accumulated during a phase of rapid subsidence at the initiation of Mt. Erebus loading between ca. 1.0 and 0.8 Ma. Unit IA is interpreted to represent progressive infilling of the flexural moat with more coarse-grained, probably glacigenic sediments during continuation of Mt. Erebus loading between ca. 0.8 and 0.2 Ma. These phases of load-induced subsidence may have periodically overdeepened the moat, making it likely that the sedimentary fill is relatively continuous and has largely escaped erosion by ice grounding during past glacial expansions of the West Antarctic Ice Sheet (WAIS) and the MRIS. The age relationships provided by radiometric dating of the various volcanic loads imply that the sediments here have the potential to provide a relatively continuous and high-resolution glacimarine record of the past behavior of the WAIS-MRIS and the climate history of the western Ross Sea region back to similar to 5 Ma. This stratigraphic record is scheduled to be drilled by the ANDRILL Program in the austral summer of 2006. From the interpretation of seismic facies, we present a stratigraphic prognosis for the proposed drill site. (c) 2004 Elsevier B.V. All rights reserved.</t>
  </si>
  <si>
    <t>Inst Geol &amp; Nucl Sci, Lower Hutt, New Zealand; Univ Otago, Dept Geol, Dunedin, New Zealand; Victoria Univ Wellington, Antarctic Res Ctr, Wellington, New Zealand</t>
  </si>
  <si>
    <t>GNS Science - New Zealand; University of Otago; Victoria University Wellington</t>
  </si>
  <si>
    <t>Inst Geol &amp; Nucl Sci, POB 30368, Lower Hutt, New Zealand.</t>
  </si>
  <si>
    <t>t.naish@gns.cri.nz</t>
  </si>
  <si>
    <t>Wilson, Gary S/B-3803-2010; Bannister, Stephen/B-4038-2008; Horgan, Huw/I-5847-2019</t>
  </si>
  <si>
    <t>Horgan, Huw/0000-0002-4836-0078; Wilson, Gary/0000-0003-0025-3641; Bannister, Stephen/0000-0002-2125-0506; Naish, Tim/0000-0002-1185-9932</t>
  </si>
  <si>
    <t>10.1016/j.gloplacha.2004.09.014</t>
  </si>
  <si>
    <t>WOS:000227977000006</t>
  </si>
  <si>
    <t>Maldonado, A; Barnolas, A; Bohoyo, F; Escutia, C; Galindo-Zaldívar, J; Hernández-Molina, J; Jabaloy, A; Lobo, FJ; Nelson, CH; Rodríguez-Fernández, J; Somoza, L; Vázquez, JT</t>
  </si>
  <si>
    <t>Miocene to Recent contourite drifts development in the northern Weddell Sea (Antarctica)</t>
  </si>
  <si>
    <t>contourite drifts; Antarctic paleoceanography; Weddell Gyre; glaciations</t>
  </si>
  <si>
    <t>DEEP-WATER CIRCULATION; SCOTIA SEA; BOTTOM WATER; CIRCUMPOLAR CURRENT; TURBIDITE SYSTEMS; BASIN DEVELOPMENT; PLATE BOUNDARY; SEDIMENT WAVES; SOUTHERN-OCEAN; POWELL BASIN</t>
  </si>
  <si>
    <t>Multichannel and high-resolution seismic profiles complemented with swath bathymetry show a variety of contourite deposits in the northern Weddell Sea resulting from the interaction between bottom currents and the seafloor physiography. Seven types of contourite drifts are identified based on the seismic signature, reflector configuration and geometry of the depositional bodies. Giant elongated-mounded drifts are widespread in the area and associated with major channelized contour currents that flow at the base of large ridges. Thick basement/tectonic drifts result from the seafloor disruptions of the currents caused by the irregularities of the near-surface basement morphology. Sheeted drifts occur under the main core of the Weddell Gyre and also in areas of the abyssal plain away from the main flows. Various types of drifts in-fill depressions or are plastered against steep bathymetric ridges that intersect contour currents. The regional distribution of the drifts is mainly controlled by the physiography of the basin and the confined or unconfined nature of the bottom-current flows. The northern Weddell Sea is a region dominated by contourite processes and thus provides an area to compare contourite drifts with turbidite systems. The giant elongated-mounded drifts have a net asymmetry of the body, in contrast to turbidite channel-levee complexes that develop levees on each side of an axial turbidite channel. The basement/tectonic drifts prograde parallel to the main flow and are plastered following the irregularities of the basement unlike turbidite deposits. Other drifts, in contrast, show internal reflector characteristics similar to turbidite systems, such as the sheeted drifts. In these cases, however, the associations of turbidite and drift deposits are different. The giant elongate-mounded drifts are stacked along the margins and elongate or transverse drift sequences are observed in the basin centre of confined basins. In the unconfined setting, the drifts are normally asymmetric in relation to the marginal channel moats and sheeted drifts develop laterally from the ridges. in turbidite systems of confined or unconfined settings, generally symmetrical proximal channel-levee complexes evolve downstream to sheetlike basin plain sequences. Five main seismic units separated by regional unconformities are recognized above the oceanic basement. The age of the deposits is based on the magnetic anomalies of the oceanic crust and the overlying seismic sequences. The external geometry and acoustic character of the seismic units indicate strong bottom-current processes, except for the basal deposits attributed to the Early Miocene. The development of extensive drifts in the deposits of Unit 4 (similar to Middle Miocene) shows the initial influence of the Weddell Sea Bottom Water (WSBW). The opening of the connection of Jane Basin with the Scotia Sea also is marked by a regional unconformity that records a reorganization of bottom flows. The two uppermost Units I and 2 (Late Miocene to Recent) indicate intensified bottom currents, which may reflect the increased production of WSBW. The evolution through time of the contourite deposits and the distribution of regional unconformities reflect the ice sheet dynamics that controlled the production of Antarctic Bottom Water (AABW). (c) 2004 Elsevier B.V. All rights reserved.</t>
  </si>
  <si>
    <t>Univ Granada, Fac Ciencias, Inst Andaluz Ciencias Tierra, CSIC, Granada 18002, Spain; Inst Geol &amp; Minero Espana, Madrid 28003, Spain; Univ Granada, Dept Geodinam, E-18071 Granada, Spain; Univ Vigo, Fac Ciencias Mar, Dept Geociencias Marinas, Vigo 36200, Spain; Univ Cadiz, Fac Ciencias Mar, Cadiz 11510, Spain</t>
  </si>
  <si>
    <t>Consejo Superior de Investigaciones Cientificas (CSIC); CSIC - Instituto Andaluz de Ciencias de la Tierra (IACT); University of Granada; University of Granada; Universidade de Vigo; Universidad de Cadiz</t>
  </si>
  <si>
    <t>Univ Granada, Fac Ciencias, Inst Andaluz Ciencias Tierra, CSIC, Granada 18002, Spain.</t>
  </si>
  <si>
    <t>amaldona@ugr.es</t>
  </si>
  <si>
    <t>vasquez, juan/JCN-9608-2023; Galindo-Zaldivar, Jesus/K-3640-2012; Somoza, Luis/C-1400-2010; Barnolas, Antonio/AAQ-6863-2021; JABALOY SANCHEZ, ANTONIO/L-2955-2014; Vazquez, Juan-Tomas/L-7796-2014; Vazquez, Juan-Tomas/T-6271-2019; Lobo, Francisco José/J-9836-2012; Bohoyo, Fernando/AAZ-5990-2021; Bohoyo, Fernando/C-1062-2011; RODRIGUEZ-FERNANDEZ, JOSE/L-7077-2014; Escutia, Carlota/B-8614-2015</t>
  </si>
  <si>
    <t>Galindo-Zaldivar, Jesus/0000-0002-3493-2637; Somoza, Luis/0000-0001-5451-2288; Barnolas, Antonio/0000-0002-4124-3426; JABALOY SANCHEZ, ANTONIO/0000-0001-5830-5913; Vazquez, Juan-Tomas/0000-0002-3747-4838; Vazquez, Juan-Tomas/0000-0002-3747-4838; Lobo, Francisco José/0000-0002-3294-7202; Bohoyo, Fernando/0000-0002-1044-8816; Bohoyo, Fernando/0000-0002-1044-8816; RODRIGUEZ-FERNANDEZ, JOSE/0000-0003-0349-9209; Ercilla, Gemma/0000-0002-9709-2938; Escutia, Carlota/0000-0002-4932-8619</t>
  </si>
  <si>
    <t>10.1016/j.gloplacha.2004.09.013</t>
  </si>
  <si>
    <t>WOS:000227977000007</t>
  </si>
  <si>
    <t>Grützner, J; Hillenbrand, CD; Rebesco, M</t>
  </si>
  <si>
    <t>Terrigenous flux and blogenic silica deposition at the Antarctic continental rise during the late Miocene to early Pliocene:: implications for ice sheet stability and sea ice coverage</t>
  </si>
  <si>
    <t>palacoclimatology; ocean drilling program; Antarctic ice sheet; Milankovitch theory; neogene</t>
  </si>
  <si>
    <t>DEEP-WATER CIRCULATION; STABLE-ISOTOPE STRATIGRAPHY; PRYDZ BAY; CLIMATE; ATLANTIC; OCEAN; CHRONOLOGY; SEDIMENTS; FLUCTUATIONS; OPAL</t>
  </si>
  <si>
    <t>Drift sediments recovered from the East Antarctic continental rise at Ocean Drilling Program (ODP) Site 1165 are used to infer variations in East Antarctic Ice Sheet (EAIS) stability and sea ice coverage during the late Miocene and early Pliocene. A significant increase in the deposition of biogenic opal from similar to 5.8 to 5.2 Ma points to an early Pliocene reduction in sea ice and a subsequent increase in biological productivity. Time intervals at similar to 7.2 to 6.6 Ma and similar to 5.2 to 4.8 Ma are characterized by pronounced maxima in the long-term trend of terrigenous matter accumulation (MAR(ter)) indicating high continental erosion rates potentially caused by ice sheet growth. A Southern Ocean wide impact of these events is suggested by similar evidence found at ODP Site 1095 (Antarctic Peninsula). Superimposed on the MAR(ter) maxima we observe enhanced orbital variability in iron accumulation at Site 1165 pointing to a dynamic behavior of the EAIS with waxing and waning ice masses. From the concurrence of these high amplitude ice sheet fluctuations with maximum variance in Earth's obliquity, we propose that the insolation gradient between high and low latitudes affected the delivery of moisture to Antarctica and thus controlled ice volume variations. (c) 2004 Elsevier B.V. All rights reserved.</t>
  </si>
  <si>
    <t>Univ Bremen, Dept Geosci, D-28334 Bremen, Germany; Alfred Wegener Inst Polar &amp; Marine Res, D-27515 Bremerhaven, Germany; Ist Nazl Oceanog &amp; Geofis Sperimentale, I-34010 Sgonico, Italy</t>
  </si>
  <si>
    <t>University of Bremen; Helmholtz Association; Alfred Wegener Institute, Helmholtz Centre for Polar &amp; Marine Research; Istituto Nazionale di Oceanografia e di Geofisica Sperimentale</t>
  </si>
  <si>
    <t>Univ Bremen, Dept Geosci, POB 330440, D-28334 Bremen, Germany.</t>
  </si>
  <si>
    <t>jgruetzn@allgeo.uni-bremen.de</t>
  </si>
  <si>
    <t>Rebesco, Michele/B-7462-2014</t>
  </si>
  <si>
    <t>Rebesco, Michele/0000-0002-9492-4081; Gruetzner, Jens/0000-0001-5445-2393</t>
  </si>
  <si>
    <t>10.1016/j.gloplacha.2004.09.004</t>
  </si>
  <si>
    <t>WOS:000227977000008</t>
  </si>
  <si>
    <t>Hillenbrand, CD; Ehrmann, W</t>
  </si>
  <si>
    <t>Late Neogene to Quaternary environmental changes in the Antarctic Peninsula region: evidence from drift sediments</t>
  </si>
  <si>
    <t>Antarctica; cenozoic; clay minerals; leg 178; opal; Southern Ocean</t>
  </si>
  <si>
    <t>DEEP-WATER CIRCULATION; SOUTHERN-OCEAN; BIOGENIC SILICA; PACIFIC MARGIN; HIGH-LATITUDE; LATE MIOCENE; ICE SHEETS; SEA-ICE; ATLANTIC; RECORD</t>
  </si>
  <si>
    <t>Clay-mineral composition and biogenic opal content in upper Miocene to Quaternary drift sediments recovered at two Ocean Drilling Program (ODP) sites from the continental rise in the Bellingshausen Sea had been analyzed in order to reconstruct the climatic and glacial history of the Antarctic Peninsula. The clay mineral composition at both sites is dominated by smectite, illite, and chlorite, and alternates between a smectite-enriched and a chlorite-enriched assemblage throughout the last 9.3 my. The spatial distribution of clay minerals in Holocene sediments west of the Antarctic Peninsula facilitates the identification of particular source areas, and thus the reconstruction of transport pathways. The similarity to clay mineral variations reported from upper Quaternary sequences suggests that the short-term clay-mineralogical fluctuations in the ODP cores reflect glacial-interglacial cyclicity. Thus, repeated ice advances and retreats in response to a varying size of the Antarctic Peninsula ice cap are likely to have occurred throughout the late Neogene and Quaternary. The clay minerals in the drift sediments exhibit only slight long-term variations, which are caused by local changes in glacial erosion and in supply of source rocks, rather than by major climatic changes. The opal records at the ODP sites are dominated by long-term variations since the late Miocene. We infer that the opal content in the drift sediments, although it is influenced by dissolution in the water column and the sediment column and by the burial with lithogenic detritus, provides a signal of paleoproductivity. Because the annual sea-ice coverage is regarded as the main factor controlling biological productivity, the opal signal helps to reconstruct palcoceanographic changes in the Bellingshausen Sea. Slightly enhanced opal deposition during the late Miocene indicates slightly warmer climatic conditions in the Antarctic Peninsula area than at present. During the early Pliocene, enhanced opal deposition in the Pacific sector of the Southern Ocean and coinciding high opal concentrations in sedimentary sequences from the Atlantic and Indian sectors document a strong reduction of sea-ice cover and relatively warm climatic conditions. Thereby, the early onset of the Pliocene warmth in the Bellingshausen Sea points to a positive feedback of regional Antarctic climate on the global thermohaline circulation. A decrease of opal deposition between 3.1 and 2.6 Ma likely reflects sea-ice expansion in response to reduced supply of northern-sourced deep-waters to the Southern Ocean, caused by the onset of Northern Hemisphere glaciation. Throughout the Quaternary, a relatively constant level of opal deposition on the Antarctic continental margin indicates relatively stable climatic conditions. (c) 2004 Elsevier B.V. All rights reserved.</t>
  </si>
  <si>
    <t>Alfred Wegener Inst Polar &amp; Marine Res, D-27515 Bremerhaven, Germany; Univ Leipzig, Inst Geophys &amp; Geol, D-04103 Leipzig, Germany</t>
  </si>
  <si>
    <t>Helmholtz Association; Alfred Wegener Institute, Helmholtz Centre for Polar &amp; Marine Research; Leipzig University</t>
  </si>
  <si>
    <t>10.1016/j.gloplacha.2004.09.006</t>
  </si>
  <si>
    <t>WOS:000227977000010</t>
  </si>
  <si>
    <t>Florindo, F; Wilson, GS; Roberts, AP; Sagnotti, L; Verosub, KL</t>
  </si>
  <si>
    <t>Magneto stratigraphic chronology of a late Eocene to early Miocene glacimarine succession from the Victoria Land Basin, Ross Sea, Antarctica</t>
  </si>
  <si>
    <t>Antarctica; Cape Roberts project; cenozoic; chronology; magnetostratigraphy</t>
  </si>
  <si>
    <t>TRANSANTARCTIC MOUNTAINS; MCMURDO SOUND; ICE-SHEET; BOUNDARY; GREIGITE; HISTORY; REGION; MARGIN; CORE; EAST</t>
  </si>
  <si>
    <t>Drilling offshore from Cape Roberts, Antarctica, has enabled recovery of a 1472-m cumulative record of late Eocene-early Miocene history of sedimentary basin development and climate change in the Western Ross Sea. In this paper, we synthesize the results of palaeomagnetic analyses carried out on the CRP-1, CRP-2 and CRP-3 sediment cores, and present a chronology for the recovered Eocene-Miocene succession. Stepwise demagnetization data demonstrate that secondary overprints have been successfully removed and that characteristic remanent magnetizations (ChRMs) have been clearly identified in most of the samples. A close sampling interval has allowed a detailed magnetic polarity stratigraphy to be established for the composite succession. Correlation with the geomagnetic polarity time scale (GPTS) has been constrained by a number of Ar-40/Ar-19 and Sr-87/Sr-86 ages, as well as by a recently developed Antarctic siliceous microfossil zonation, and by calcareous nannoplankton biostratigraphy. The basal sediments of the Eocene-Miocene succession rest unconformably on Devonian sandstones of the Beacon Supergroup. A basal sandstone breccia, which probably represents the onset of rifting in the Victoria Land Basin (VLB), is overlain by a succession of sandstones that are interbedded with thin conglomerate beds. These sediments give way to more clearly glacially influenced mudstones and diamictite facies in the mid Oligocene, and, by the Oligocene-Miocene boundary, coincident with the Mi-1 glaciation, a permanent glacial dominance was imprinted on the sedimentary record. Average sediment accumulation rates were initially rapid in the late Eocene-early Oligocene (up to 60 cm/k.y.), but reduced to only a few cm/k.y. in the early Miocene as basin subsidence slowed. (c) 2004 Elsevier B.V. All rights reserved.</t>
  </si>
  <si>
    <t>Ist Nazl Geofis &amp; Vulcanol, I-00143 Rome, Italy; Univ Otago, Dept Geol, Dunedin, New Zealand; Univ Southampton, Southampton Oceanog Ctr, Sch Ocean &amp; Earth Sci, Southampton SO14 3ZH, Hants, England; Univ Calif Davis, Dept Geol, Davis, CA 95616 USA</t>
  </si>
  <si>
    <t>Istituto Nazionale Geofisica e Vulcanologia (INGV); University of Otago; NERC National Oceanography Centre; University of Southampton; University of California System; University of California Davis</t>
  </si>
  <si>
    <t>Ist Nazl Geofis &amp; Vulcanol, Via Vigna Murata 605, I-00143 Rome, Italy.</t>
  </si>
  <si>
    <t>florindo@ingv.it</t>
  </si>
  <si>
    <t>Florindo, Fabio/AAU-2548-2021; Florindo, Fabio/F-4119-2010; Florindo, Fabio/M-1459-2019; Wilson, Gary S/B-3803-2010; Roberts, Andrew P/E-6422-2010; Sagnotti, Leonardo/AFM-3916-2022</t>
  </si>
  <si>
    <t>Florindo, Fabio/0000-0002-6058-9748; Florindo, Fabio/0000-0002-6058-9748; Sagnotti, Leonardo/0000-0003-3944-201X; Roberts, Andrew P./0000-0003-0566-8117; Wilson, Gary/0000-0003-0025-3641</t>
  </si>
  <si>
    <t>10.1016/j.gloplacha.2004.09.009</t>
  </si>
  <si>
    <t>WOS:000227977000012</t>
  </si>
  <si>
    <t>Bellanca, A; Aghib, F; Neria, R; Sabatino, N</t>
  </si>
  <si>
    <t>Bulk carbonate isotope stratigraphy from CRP-3 core (Victoria Land Basin, Antarctica): evidence for Eocene-Oligocene palaeoclimatic evolution</t>
  </si>
  <si>
    <t>Eocene/Oligocene; Antarctica; stable isotopes; carbonate diagenesis; palaeoclimatology</t>
  </si>
  <si>
    <t>PORE FLUID EVOLUTION; DIAGENESIS; CALCITE; O-18</t>
  </si>
  <si>
    <t>Bulk carbonate isotope compositions and carbonate petrography from upper Eocene and lower Oligocene siliciclastic sediments of the CRP-3 sediment core (Victoria Land Basin, Antarctica) have been investigated with the aim of contributing to reconstruction of the Antarctic Cenozoic palaeoclimate. Most of the carbonate is calcite cement occurring as patches, nodules and horizons and consisting of equant and/or drusy sparry calcite, pervasive blocky calcite and rare poikilotopic calcite spar. O-18-depleted values (from - 17 to -8 delta parts per thousand) of the CRP-3 carbonates suggest that the precipitating fluids were a mixing between marine and meteoric waters from melting glaciers. The 5 180 record exhibits a number of steps in an upward increasing trend that are thought to reflect the evolution of ice-sheet growth over the late Eocene to early Oligocene in response to a global cooling trend. Low carbonate delta C-13 values in the CRP-3 drillcore suggest that organic reactions have played a significant role in modifying the pore fluid chemistry. Some anomalously light carbon compositions (down to -25 parts per thousand) are interpreted to record methane-derived CO2 addition to the system. (c) 2004 Elsevier B.V. All rights reserved.</t>
  </si>
  <si>
    <t>Univ Palermo, Dipartimento Chim &amp; Fis Terra &amp; Applicaz Georisor, I-90123 Palermo, Italy; CNR, Ist Dinam Proc Ambientali, Sez Milano, Dipartimento Sci Terra, I-20133 Milan, Italy</t>
  </si>
  <si>
    <t>University of Palermo; Consiglio Nazionale delle Ricerche (CNR)</t>
  </si>
  <si>
    <t>Bellanca, A (corresponding author), Univ Palermo, Dipartimento Chim &amp; Fis Terra &amp; Applicaz Georisor, Via Archirafi 36, I-90123 Palermo, Italy.</t>
  </si>
  <si>
    <t>bellanca@unipa.it</t>
  </si>
  <si>
    <t>Sabatino, Nadia/0009-0000-5646-7759</t>
  </si>
  <si>
    <t>10.1016/j.gloplacha.2004.06.014</t>
  </si>
  <si>
    <t>WOS:000227977000013</t>
  </si>
  <si>
    <t>Hodoki, Y</t>
  </si>
  <si>
    <t>Effects of solar ultraviolet radiation on the periphyton community in lotic systems: comparison of attached algae and bacteria during their development</t>
  </si>
  <si>
    <t>HYDROBIOLOGIA</t>
  </si>
  <si>
    <t>algae; bacteria; periphyton; succession; ultraviolet radiation</t>
  </si>
  <si>
    <t>DISSOLVED ORGANIC-MATTER; UV-RADIATION; B RADIATION; MARINE BACTERIOPLANKTON; ANTARCTIC CYANOBACTERIA; BIOFILM DEVELOPMENT; SPECIES COMPOSITION; FRESH-WATER; IRRADIANCE; GROWTH</t>
  </si>
  <si>
    <t>The effects of solar ultraviolet radiation (UVR) on the development of a periphyton community were studied in an outdoor artificial stream apparatus. Algal biomass, species composition, and bacterial cell density were measured under full sunlight and non-UVR (photosynthetically active radiation [PAR]-only) conditions. Attachment of algae was detected on days 6-9. Although the chlorophyll-a concentration under non-UVR conditions was 2-4 times that under full sunlight (PAR + UVR) throughout the experiment, neither net algal growth rate nor species composition differed significantly between the two light conditions. The relative carotenoid pigment contents of attached algae in the PAR + UVR condition were 1.1-1.3 times those in the non-UVR condition. Rates of increase of bacterial cell densities under the PAR + UVR condition were depressed by solar UVR for the first few days, although there were no apparent differences in the rates of increase between the light conditions later in the experiment. The small effect of UVR on the development of this periphyton community may be attributable to low UV flux at this study site and to the experimental conditions under which the algae were kept: a high physiological state with high nutrient conditions. Attached bacteria and algae that colonize substrata first are likely to be sensitive to solar UVR, and the negative effects of UVR are mitigated by the development of a periphyton community.</t>
  </si>
  <si>
    <t>Hokkaido Univ, Grad Sch Environm Earth Sci, Kita Ku, Sapporo, Hokkaido 0600810, Japan</t>
  </si>
  <si>
    <t>Hodoki, Y (corresponding author), Hokkaido Univ, Grad Sch Environm Earth Sci, Kita Ku, North 10,West 5, Sapporo, Hokkaido 0600810, Japan.</t>
  </si>
  <si>
    <t>hodoki@ees.hokudai.ac.jp</t>
  </si>
  <si>
    <t>0018-8158</t>
  </si>
  <si>
    <t>Hydrobiologia</t>
  </si>
  <si>
    <t>10.1007/s10750-004-1505-y</t>
  </si>
  <si>
    <t>898IO</t>
  </si>
  <si>
    <t>WOS:000227070700016</t>
  </si>
  <si>
    <t>Demer, DA; Conti, SG</t>
  </si>
  <si>
    <t>New target-strength model indicates more krill in the Southern Ocean</t>
  </si>
  <si>
    <t>abundance; CCAMLR 2000; Euphausia superba; krill orientations; SDWBA model; target strength</t>
  </si>
  <si>
    <t>ANTARCTIC KRILL; EUPHAUSIA-SUPERBA; ORIENTATION; SCATTERING; ABUNDANCE; VICINITY</t>
  </si>
  <si>
    <t>Antarctic krill, Eaphausia superba, comprises the foundation of the foodweb in the Southern Ocean and is the target of a large fishery. Recently, the total abundance of krill in the Scotia Sea was estimated from an international echosounder and net survey (CCAMLR 2000) to be 44.3 million metric tonnes (Mt; CV 11.4%) (Hewitt et al., 2002). The new biomass estimate prompted the Antarctic Treaty's Commission for the Conservation of Antarctic Marine Living Resources (CCAMLR) to revise the precautionary catch level for krill in the area from 1.5 to 4 Mt (SC-CAMLR, 2000). These survey results are based on the total echo energy attributed to krill, scaled by the Greene et al. (1991) model of krill acoustical reflectivity or target strength (TS). Presented here is a re-analysis of the CCAMLR 2000 data incorporating recent improvements in the characterization of krill TS. The results indicate that the estimated krill biomass in the Scotia Sea may be as high as 192.4 Mt (CV = 11.7%), or as low as 109.4 Mt (CV = 10.4%), depending solely on the expected distribution of krill orientations. The new Stochastic, Distorted-Wave, Born-Approximation (SDWBA) TS model solved with an empirically estimated distribution of in situ orientations leads to a krill-biomass estimate that is nearly 2.5 times the previous estimate. In consequence, revisions may be warranted of the standard krill TS model, the CCAMLR 2000 biomass estimate, and the associated precautionary catch level for krill in the Scotia Sea. (C) 2004 Published by Elsevier Ltd on behalf of International Council for the Exploration of the Sea.</t>
  </si>
  <si>
    <t>SW Fisheries Sci Ctr, Adv Survey Technol Program, La Jolla, CA 92037 USA</t>
  </si>
  <si>
    <t>National Oceanic Atmospheric Admin (NOAA) - USA</t>
  </si>
  <si>
    <t>SW Fisheries Sci Ctr, Adv Survey Technol Program, 8604 La Jolla Shores Dr, La Jolla, CA 92037 USA.</t>
  </si>
  <si>
    <t>david.demer@noaa.gov</t>
  </si>
  <si>
    <t>, David/ABC-8990-2022</t>
  </si>
  <si>
    <t>, David/0000-0001-5083-8854</t>
  </si>
  <si>
    <t>10.1016/j.icesjms.2004.07.027</t>
  </si>
  <si>
    <t>893YY</t>
  </si>
  <si>
    <t>WOS:000226758200003</t>
  </si>
  <si>
    <t>Tarrant, AM</t>
  </si>
  <si>
    <t>Endocrine-like signaling in cnidarians: Current understanding and implications for ecophysiology</t>
  </si>
  <si>
    <t>Symposium on EcoPhysiology and Conservation - The Contribution of Endocrinology and Immunology</t>
  </si>
  <si>
    <t>GONADOTROPIN-RELEASING-HORMONE; CORAL POCILLOPORA-DAMICORNIS; GENE-RELATED PEPTIDE; NUCLEAR RECEPTOR SUPERFAMILY; MEMBRANE PROGESTIN RECEPTOR; CLASS-LEVEL RELATIONSHIPS; GAMMA-AMINOBUTYRIC-ACID; FACTOR-BETA SUPERFAMILY; ANTARCTIC SOFT CORALS; SEA-URCHIN EMBRYOS</t>
  </si>
  <si>
    <t>The vertebrate endocrine system is well-characterized, with many reports of disruption by environmental chemicals. In contrast, cnidarians are less compartmentalized, physiological regulation is poorly understood, and the potential for disruption is unknown. Endocrine-like activity has not been systematically studied in cnidarians, but several classical vertebrate hormones (e.g., steroids, iodinated organic compounds, neuropeptides, and indoleamines) have been identified in cnidarian tissues. Investigators have made progress in identifying putative bioregulatory molecules in cnidarians, and testing the effects of these individual compounds. Less progress has been made in elucidating signaling pathways. For example, putative gonadotropin-releasing hormone and sex steroids have been identified in cnidarian tissues, but it is unknown whether these compounds are components of a larger signal cascade comparable to the vertebrate hypothalamic-pituitary-gonadal axis. Further, while sex steroids and iodinated organic compounds may help to regulate cnidarian physiology, the mechanisms of action are unknown. Homologs to the vertebrate steroid and thyroid receptors have not been identified in cnidarians, so more research is needed to understand the mechanisms of endocrine-like signaling in cnidarians. Elucidation of enidarian regulatory pathways will provide insight into evolution of hormonal signaling. These studies will also improve understanding of how cnidarians respond to environmental cues and will provide a basis to investigate disruption of physiological processes by physical and chemical stressors.</t>
  </si>
  <si>
    <t>Woods Hole Oceanog Inst, Dept Biol, Woods Hole, MA 02543 USA</t>
  </si>
  <si>
    <t>Woods Hole Oceanog Inst, Dept Biol, 45 Water St,MS-32, Woods Hole, MA 02543 USA.</t>
  </si>
  <si>
    <t>atarrant@whoi.edu</t>
  </si>
  <si>
    <t>Tarrant, Ann/AAU-8263-2021</t>
  </si>
  <si>
    <t>Tarrant, Ann/0000-0002-1909-7899</t>
  </si>
  <si>
    <t>10.1093/icb/45.1.201</t>
  </si>
  <si>
    <t>926KV</t>
  </si>
  <si>
    <t>WOS:000229123000027</t>
  </si>
  <si>
    <t>David, C; Bekki, S; Berdunov, N; Marchand, M; Snels, M; Mégie, G</t>
  </si>
  <si>
    <t>Classification and scales of Antarctic polar stratospheric clouds using wavelet decomposition</t>
  </si>
  <si>
    <t>JOURNAL OF ATMOSPHERIC AND SOLAR-TERRESTRIAL PHYSICS</t>
  </si>
  <si>
    <t>aerosols; clouds; polar stratospheric clouds; stratosphere; polar; ozone</t>
  </si>
  <si>
    <t>LIDAR OBSERVATIONS; ARCTIC STRATOSPHERE; VOLCANIC AEROSOLS; LIQUID PARTICLES; DUMONT DURVILLE; TEMPERATURES; INVERSION; VORTEX; WINTER</t>
  </si>
  <si>
    <t>Polar stratospheric clouds (PSCs) observed with a lidar over the French Antarctic station of Dumont d'Urville (DDU, 66degrees40'S, 140degrees01'E) in 1996 are classified using backscatter and depolarisation ratio diagrams. Some Type I PSCs, called here intermediate-type PSCs, exhibit lidar signals which do not fit the two distinct groups, Types la and 1b, of the standard classification. A wavelet decomposition analysis of backscatter and depolarisation ratio high-resolution profiles is performed in order to study the vertical scales of the various PSC layers. This analysis reveals the presence of small-scale structures in the lidar vertical profiles, which are typical of mesoscale processes associated with the propagation of waves such as gravity waves into the winter stratosphere. When these small-scale structures are filtered out of the lidar profiles, most of the intermediate PSCs detected in the original data disappear, indications that the layers of intermediate PSCs must be relatively thin, possibly embedded into wider synoptic Type la or 1b layers. This suggests that intermediate PSCs observed over DDU in 1996 tended to form during rapid and small-scale perturbations associated with mesoscale processes. The lidar signal of intermediate-type PSCs may simply reflect the sampling of rapidly evolving PSCs, supporting the view of these intermediate PSCs as transition-type PSCs. It is worth noticing that the vertical scale of theses processes cannot be fully resolved in meteorological analysis or satellite data. High-resolution data are required to investigate these transition-type PSCs. (C) 2004 Elsevier Ltd. All rights reserved.</t>
  </si>
  <si>
    <t>Univ Paris 06, Serv Aeron, Inst Pierre Simon Laplace, F-75252 Paris 05, France; CNR, Inst Atmospher Sci &amp; Climate, ISAC, I-00133 Rome, Italy</t>
  </si>
  <si>
    <t>Sorbonne Universite; Centre National de la Recherche Scientifique (CNRS); CNRS - National Institute for Earth Sciences &amp; Astronomy (INSU); Universite Paris Cite; Universite Paris Saclay; Consiglio Nazionale delle Ricerche (CNR); Istituto di Scienze dell'Atmosfera e del Clima (ISAC-CNR)</t>
  </si>
  <si>
    <t>Univ Paris 06, Serv Aeron, Inst Pierre Simon Laplace, 4 Pl Jussieu,B 102,Tour 45,Couloir 45-46,3eme Eta, F-75252 Paris 05, France.</t>
  </si>
  <si>
    <t>christine.david@aero.jussieu.fr; slimane.bekki@aero.jussieu.fr; marion.marchand@aero.jussieu.fr</t>
  </si>
  <si>
    <t>bekki, slimane/J-7221-2015; Snels, Marcel/J-2324-2012</t>
  </si>
  <si>
    <t>bekki, slimane/0000-0002-5538-0800; Snels, Marcel/0000-0002-3025-5237; Marion, Marchand/0000-0003-2220-383X</t>
  </si>
  <si>
    <t>1364-6826</t>
  </si>
  <si>
    <t>1879-1824</t>
  </si>
  <si>
    <t>J ATMOS SOL-TERR PHY</t>
  </si>
  <si>
    <t>J. Atmos. Sol.-Terr. Phys.</t>
  </si>
  <si>
    <t>10.1016/j.jastp.2004.07.043</t>
  </si>
  <si>
    <t>Geochemistry &amp; Geophysics; Meteorology &amp; Atmospheric Sciences</t>
  </si>
  <si>
    <t>893GJ</t>
  </si>
  <si>
    <t>WOS:000226707000009</t>
  </si>
  <si>
    <t>Lowe, CJ; Seebacher, F; Davison, W</t>
  </si>
  <si>
    <t>Thermal sensitivity of heart rate and insensitivity of blood pressure in the Antarctic notothenlid fish Pagothenia borckgrevinki</t>
  </si>
  <si>
    <t>JOURNAL OF COMPARATIVE PHYSIOLOGY B-BIOCHEMICAL SYSTEMIC AND ENVIRONMENTAL PHYSIOLOGY</t>
  </si>
  <si>
    <t>autonomic nervous system; cardiovascular; cardiac; temperature; stenothermy</t>
  </si>
  <si>
    <t>CARDIOVASCULAR-RESPONSES; CARDIAC-PERFORMANCE; RAINBOW-TROUT; CHAENOCEPHALUS-ACERATUS; EXHAUSTIVE EXERCISE; GADUS-MORHUA; ATLANTIC COD; TEMPERATURE; BORCHGREVINKI; TELEOST</t>
  </si>
  <si>
    <t>The Antarctic notothenioids are among the most stenothermal of fishes, well adapted to their stable, cold and icy environment. The current study set out to investigate the thermal sensitivity/insensitivity of heart rate and ventral aortic blood pressure of the Antarctic nototheniid fish Pagothenia borchgrevinki over a range of temperatures. The heart rate increased rapidly from -1 to 6 degrees C (Q(10)=2.0-3.3), but was relatively insensitive to temperature above the similar to 6 degrees C lethal limit of the species (Q(10)=1.2). The increase in heart rate from -1 to 6 degrees C was the result of a 45% increase in excitatory adrenergic tone, masking a 37% increase in inhibitory cholinergic tone. Ventral aortic pressure was regulated well above the lethal limit, up to at least 10 degrees C. With the return of the fish to environmental temperatures, the heart rate rapidly decreased back to control levels, while ventral aortic pressure increased and remained elevated for over an hour following a 6 degrees C exposure.</t>
  </si>
  <si>
    <t>Univ Canterbury, Sch Biol Sci, Christchurch 1, New Zealand; Univ Sydney, Sch Biol Sci A08, Sydney, NSW 2006, Australia</t>
  </si>
  <si>
    <t>University of Canterbury; University of Sydney</t>
  </si>
  <si>
    <t>Lowe, CJ (corresponding author), Univ Canterbury, Sch Biol Sci, Private Bag 4800, Christchurch 1, New Zealand.</t>
  </si>
  <si>
    <t>cjl50@student.canterbury.ac.nz</t>
  </si>
  <si>
    <t>Seebacher, Frank/0000-0002-2281-9311</t>
  </si>
  <si>
    <t>0174-1578</t>
  </si>
  <si>
    <t>J COMP PHYSIOL B</t>
  </si>
  <si>
    <t>J. Comp. Physiol. B-Biochem. Syst. Environ. Physiol.</t>
  </si>
  <si>
    <t>10.1007/s00360-004-0466-9</t>
  </si>
  <si>
    <t>908JN</t>
  </si>
  <si>
    <t>WOS:000227783400003</t>
  </si>
  <si>
    <t>Blazewicz-Paszkowycz, M</t>
  </si>
  <si>
    <t>Singularia cuncta N. gen., N. sp (Tanaidacea: Tanaidomorpha) from antarctic abyssal waters</t>
  </si>
  <si>
    <t>A new species of Tanaidacea from the Antarctic abyssal is diagnosed and described. It has been classified to new genus Singularia, although, at present, it cannot be assigned to any of the families established by Larsen and Wilson (2002). The genus has many characters found in the family Colletteidae Larsen and Wilson, 2002. The original key to genera of Colletteidae is presented.</t>
  </si>
  <si>
    <t>Univ Lodz, Lab Polar Biol &amp; Oceanobiol, PL-90237 Lodz, Poland</t>
  </si>
  <si>
    <t>University of Lodz</t>
  </si>
  <si>
    <t>Blazewicz-Paszkowycz, M (corresponding author), Univ Lodz, Lab Polar Biol &amp; Oceanobiol, Banacha 12-16, PL-90237 Lodz, Poland.</t>
  </si>
  <si>
    <t>magdab@biol.uni.lodz.pl</t>
  </si>
  <si>
    <t>Błażewicz, Magdalena/J-5175-2017</t>
  </si>
  <si>
    <t>Blazewicz, Magdalena/0000-0002-4753-3424</t>
  </si>
  <si>
    <t>10.1651/C-2500</t>
  </si>
  <si>
    <t>903AR</t>
  </si>
  <si>
    <t>WOS:000227398300006</t>
  </si>
  <si>
    <t>Uglem, I; Belchier, M; Svåsand, T</t>
  </si>
  <si>
    <t>Age determination of European lobsters (Homarus gammarus L.) by histological quantification of lipofuscin</t>
  </si>
  <si>
    <t>CRAB CALLINECTES-SAPIDUS; CRUSTACEAN BRAIN; PIGMENT; GROWTH; ACCUMULATION; TEMPERATURE; FIELD; PARASTACIDAE; LONGEVITY; INDEX</t>
  </si>
  <si>
    <t>During the past decade, quantification of the pigment lipofuscin in the olfactory lobe cell masses (OLCM) has been successfully used for age determination of crustaceans. The aim of the current study was to quantify the amount of lipofuscin in European lobsters (Homarus gammarus L.) of known age and to determine the accuracy of lipofuscin as an age predictor. Lipofuscin was quantified by confocal fluorescence microscopy and image analysis of histological sections. Our results showed that age and OLCM lipofuscin were closely and linearly related (r(2) = 0.88). Furthermore, in contrast to earlier studies, age was also closely, but nonlinearly, related to carapace length (r(2) = 0.78). Comparison of lipofuscin and carapace length as age predictors nevertheless showed that lipofuscin produced significantly more accurate estimates of age than carapace length. The relatively small difference in the precision of age estimation between lipofuscin and carapace length emphasises the importance of evaluating the relationship between age and carapace length/lipofuscin in studies of populations with variable environmental conditions or demographic processes. It is possible that age, in specific situations, could be satisfactorily predicted on basis of measurements of size.</t>
  </si>
  <si>
    <t>Norwegian Inst Nat Res, NO-7485 Trondheim, Norway; British Antarctic Survey, Cambridge CB3 0ET, England; Inst Marine Res, Dept Aquaculture, N-5024 Bergen, Norway</t>
  </si>
  <si>
    <t>Norwegian Institute Nature Research; UK Research &amp; Innovation (UKRI); Natural Environment Research Council (NERC); NERC British Antarctic Survey; Institute of Marine Research - Norway</t>
  </si>
  <si>
    <t>Norwegian Inst Nat Res, NO-7485 Trondheim, Norway.</t>
  </si>
  <si>
    <t>ingebrigt.uglern@nina.no; terje.svasand@imr.no</t>
  </si>
  <si>
    <t>Svaasand, Terje/D-5959-2012</t>
  </si>
  <si>
    <t>Svasand, Terje/0000-0003-4659-7511</t>
  </si>
  <si>
    <t>10.1651/C-2448</t>
  </si>
  <si>
    <t>WOS:000227398300008</t>
  </si>
  <si>
    <t>Tornero, V; Borrell, A; Aguilar, A; Wells, RS; Forcada, J; Rowles, TK; Reijnders, PJH</t>
  </si>
  <si>
    <t>Effect of organochlorine contaminants and individual biological traits on blubber retinoid concentrations in bottlenose dolphins (Tursiops truncatus)</t>
  </si>
  <si>
    <t>JOURNAL OF ENVIRONMENTAL MONITORING</t>
  </si>
  <si>
    <t>SEAL PHOCA-VITULINA; VITAMIN-A; HARBOR PORPOISE; POLYCHLORINATED-BIPHENYLS; GREY SEALS; AGE; RESIDUES; WHALES; TISSUE; COAST</t>
  </si>
  <si>
    <t>Here we assessed retinoids as biomarkers of contaminant exposure by studying whether the sex, age, lipid content and organochlorine concentrations of bottlenose dolphins induced variation in retinoid status and its deposition in blubber. Blubber samples were collected from 47 individuals of known age and gender from Sarasota Bay in June 2000 and 2001. The sample included a representative cross-section of the resident dolphin community, with ages ranging from 2 to 50 years. Organochlorine levels showed the age- and sex-related variation commonly observed in other species, with concentrations increasing in youngsters of both sexes and in adult males, and decreasing in adult females after the onset of maturity. Blubber lipid content was low in the overall population and significantly decreased with age in adult males. Retinoid blubber concentrations were comparable to other odontocete species previously studied, and were strongly determined by lipid content. As a consequence of the latter, retinoid concentration was observed to decrease with age in adult males. This effect could not be statistically dissociated from the negative correlation observed between levels of organochlorines and retinoid blubber concentration. Consequently, we could not clarify whether high organochlorine loads in this population lowered retinoid concentrations or, conversely, whether depleted lipid reserves were indeed responsible for the high organochlorine concentrations and the low retinoid levels detected in blubber. With the current knowledge, both options should be considered and investigated, with initial focus on male dolphins.</t>
  </si>
  <si>
    <t>Univ Barcelona, Dept Anim Biol, Fac Biol, E-08071 Barcelona, Spain; British Antarctic Survey, NERC, Div Biol Sci, Cambridge CB3 0ET, England; Mote Marine Lab, Chicago Zool Soc, Sarasota, FL 34236 USA; NOAA Fisheries, Marine Mammal Hlth &amp; Stranding Response Program, Silver Spring, MD 20910 USA; Alterra Marine &amp; Coastal Zone Res, NL-1790 AD Den Burg, Netherlands</t>
  </si>
  <si>
    <t>University of Barcelona; UK Research &amp; Innovation (UKRI); Natural Environment Research Council (NERC); NERC British Antarctic Survey; Mote Marine Laboratory &amp; Aquarium; National Oceanic Atmospheric Admin (NOAA) - USA; Wageningen University &amp; Research</t>
  </si>
  <si>
    <t>Univ Barcelona, Dept Anim Biol, Fac Biol, Diagonal 645, E-08071 Barcelona, Spain.</t>
  </si>
  <si>
    <t>victoriatornero@ub.edu</t>
  </si>
  <si>
    <t>Vivia, Ariel/JAO-4693-2023; Tornero, Victoria/GPP-1018-2022; Aguilar, Alex/L-1283-2014; Borrell, Asunción/B-8257-2009</t>
  </si>
  <si>
    <t>Tornero, Victoria/0000-0002-1265-551X; Aguilar, Alex/0000-0002-5751-2512; Borrell, Asunción/0000-0002-6714-0724; reijnders, peter/0000-0002-3783-8283</t>
  </si>
  <si>
    <t>ROYAL SOC CHEMISTRY</t>
  </si>
  <si>
    <t>THOMAS GRAHAM HOUSE, SCIENCE PARK, MILTON RD, CAMBRIDGE CB4 0WF, CAMBS, ENGLAND</t>
  </si>
  <si>
    <t>1464-0325</t>
  </si>
  <si>
    <t>1464-0333</t>
  </si>
  <si>
    <t>J ENVIRON MONITOR</t>
  </si>
  <si>
    <t>J. Environ. Monit.</t>
  </si>
  <si>
    <t>10.1039/b410494c</t>
  </si>
  <si>
    <t>Chemistry, Analytical; Environmental Sciences</t>
  </si>
  <si>
    <t>Chemistry; Environmental Sciences &amp; Ecology</t>
  </si>
  <si>
    <t>901JT</t>
  </si>
  <si>
    <t>WOS:000227279500009</t>
  </si>
  <si>
    <t>Motta, CM; Tammaro, S; Simoniello, P; Prisco, M; Ricchiari, L; Andreuccetti, P; Filosa, S</t>
  </si>
  <si>
    <t>Characterization of cortical alveoli content in several species of Antarctic notothenioids</t>
  </si>
  <si>
    <t>alveolar morphology; Antarctic teleosts; hyosophorins; lectin stain; PAS; Sudan; Black B</t>
  </si>
  <si>
    <t>LINKED GLYCAN CHAIN; UNFERTILIZED EGGS; FERTILIZED-EGGS; ORYZIAS-LATIPES; FISH; LECTINS; MEDAKA; IMMUNOFLUORESCENCE; SIALOGLYCOPROTEINS; GLYCOPROTEINS</t>
  </si>
  <si>
    <t>Cytochemical analyses was used to study the organization and content of cortical alveoli in eight species of Antarctic teleosts belonging to three different families of notothenioids: nototheniids, bathydraconids and channichthyids. Results indicated differences existed among the various species in alveolar size and distribution and in their content. In nototheniids, in particular, typical nucleoids were formed that could be large and single or small and multiple, according to the species considered. As demonstrated by the affinity to periodic acid-Schiff (PAS) and lectin staining, these nucleoids were rich in glycoconjugates, whose nature was extremely varied in the different species, but not in lipo- or acidic proteins as indicated by Sudan Black B and silver salts staining. Protein extracts, electrophoresed and stained with Sudan, PAS and two lectins demonstrated that the alveoli in the two species, Trematomus bernacchii and Trematomus newnesi, contained c. 80 kDa protein rich in N-acetylglucosamine groups. By contrast, the typical hyosophorins, described as the major alveolar content in other fishes, were apparently present only in T. newnesi. (C) 2005 The Fisheries Society of the British Isles.</t>
  </si>
  <si>
    <t>Univ Naples Federico II, Dept Evolutionary &amp; Comparat Biol, I-80134 Naples, Italy</t>
  </si>
  <si>
    <t>Univ Naples Federico II, Dept Evolutionary &amp; Comparat Biol, I-80134 Naples, Italy.</t>
  </si>
  <si>
    <t>sifilosa@unina.it</t>
  </si>
  <si>
    <t>Simoniello, Palma/0000-0003-2888-2642; motta, chiara maria/0000-0003-1035-0664</t>
  </si>
  <si>
    <t>10.1111/j.0022-1112.2005.00613.x</t>
  </si>
  <si>
    <t>903GI</t>
  </si>
  <si>
    <t>WOS:000227413400011</t>
  </si>
  <si>
    <t>Pazmiño, AF; Godin-Beckmann, S; Ginzburg, M; Bekki, S; Hauchecorne, A; Piacentini, RD; Quel, EJ</t>
  </si>
  <si>
    <t>Impact of Antarctic polar vortex occurrences on total ozone and UVB radiation at southern Argentinean and Antarctic stations during 1997-2003 period -: art. no. D03103</t>
  </si>
  <si>
    <t>ERYTHEMAL IRRADIANCE; HOLE; DEPLETION; STRATOSPHERE; MARAMBIO; TRENDS; SPLIT</t>
  </si>
  <si>
    <t>[ 1] The evolution of total ozone and surface UV radiation over some stations in the southern region of South America and in Antarctica in relationship with polar vortex occurrences is analyzed using Total Ozone Mapping Spectrometer total ozone measurements and local surface UV data for the 1997-2003 period. The data are classified as a function of the position of the stations with respect to the polar vortex using equivalent latitude at 550 K isentropic level. The study of vortex occurrences showed that Ushuaia station ( 54.9degreesS) was located similar to40% of the cases in the edge of the vortex and 5% inside the vortex core during the winter-spring period. Concerning the Marambio ( 62.2degreesS) and Dumont d'Urville ( 66.4degreesS) stations, located on the shore of the Antarctic continent, the analysis shows a zonal asymmetry with respect to the center of the vortex. Marambio is located around 60% of the time inside the vortex, while Dumont d'Urville is predominantly at the edge of or outside the vortex. The evolution of the equivalent latitude of the stations in the anomalous 2002 winter presents a different behavior with respect to other years in the 1997-2003 period. The persistence of the vortex core above the stations is in average 1.8 days over Ushuaia and 7.1 days over Marambio in October during the 1997-2003 period with corresponding mean total ozone columns of 208.2 and 181.4 Dobson units, respectively. When the stations are inside the vortex, the total ozone columns are generally larger at Ushuaia than at Marambio in October during the 1997-2003 period. Finally, the impact of ozone-depleted air mass occurrences on ultraviolet radiation is evaluated by relating total ozone and UV erythemal dose measured at the stations. Twofold or threefold UV dose increases were reached in the 55degrees-65degrees southern latitude region during vortex overpasses, reaching maximum UV dose around 5 kJ/m(2). The average increase of UV dose could be computed at the stations considered in the study when the measurement sampling and the number of vortex occurrences was sufficient. An average increase of 67.6% of the erythemal UV dose was found in October at Ushuaia over the years 1997, 1998, and 2000. This value is strongly weighted by vortex occurrences over the station in 2000. At Marambio an average UV increase of 47.4% was found over the years 1999 and 2000. Midlatitude stations like Comodoro Rivadavia ( 45.8degreesS) are generally little affected by vortex intrusions. Nevertheless, the maximum UV dose can increase by more than 50% when the vortex passes over the station.</t>
  </si>
  <si>
    <t>Univ Paris 06, Serv Aeron, IPSL, F-75230 Paris 05, France; Serv Meteorol Nacl, RA-1427 Buenos Aires, DF, Argentina; Consejo Nacl Invest Cient &amp; Tecn, Inst Fis Rosario, RA-2000 Rosario, Argentina; Univ Nacl Rosario, Fac Ciencias Exactas Ingn &amp; Agrimensura, RA-2000 Rosario, Argentina; Consejo Nacl Invest Cient &amp; Tecn, CITEFA, Ctr Invest Laseres &amp; Aplicaciones, Buenos Aires, DF, Argentina</t>
  </si>
  <si>
    <t>Sorbonne Universite; Universite Paris Cite; National University of Rosario; Consejo Nacional de Investigaciones Cientificas y Tecnicas (CONICET); National University of Rosario; Consejo Nacional de Investigaciones Cientificas y Tecnicas (CONICET)</t>
  </si>
  <si>
    <t>Univ Paris 06, Serv Aeron, IPSL, BP 102,4 Pl Jussieu, F-75230 Paris 05, France.</t>
  </si>
  <si>
    <t>pazmino@aero.jussieu.fr; sophie.godin@aero.jussieu.fr; ginzburg@meteofa.mil.ar; slimane.bekki@aero.jussieu.fr; alain.hauchecorne@aerov.jussieu.fr; ruben@ifir.edu.ar; quel@citefa.gov.ar</t>
  </si>
  <si>
    <t>D03103</t>
  </si>
  <si>
    <t>10.1029/2004JD005304</t>
  </si>
  <si>
    <t>895YQ</t>
  </si>
  <si>
    <t>WOS:000226901400006</t>
  </si>
  <si>
    <t>Treble, PC; Budd, WF; Hope, PK; Rustomji, PK</t>
  </si>
  <si>
    <t>Synoptic-scale climate patterns associated with rainfall δ18O in southern Australia</t>
  </si>
  <si>
    <t>JOURNAL OF HYDROLOGY</t>
  </si>
  <si>
    <t>rain; oxygen-18; isotopes; O-18/O-16; Australia; Tasmania</t>
  </si>
  <si>
    <t>STABLE-ISOTOPE RATIOS; WATER ISOTOPES; ICE CORES; PRECIPITATION; TEMPERATURE; RECORD; VAPOR; SIMULATION; DEUTERIUM; RECHARGE</t>
  </si>
  <si>
    <t>A detailed examination of the relationship between synoptic patterns and the oxygen isotopic composition (delta(18)O) of rainfall is made using a 5-year long dataset of daily-event based rainfall samples from Tasmania, southern Australia. Rainfall delta(18)O varies inversely with rainfall amount and has only a weak relationship with site surface temperature. Events with extreme rainfall and delta(18)O values were identified from monthly anomalies. The synoptic patterns for these events were averaged using NCEP/DOE reanalyses-2 mean sea-level pressure data to define the major atmospheric circulation features. Large amounts of rainfall with low delta(18)O values occur when mid-latitude Southern Ocean low pressure systems pass close to the southeast of Tasmania in a circulation pattern with a strong meridional component. By contrast, small amounts of rainfall with high delta(18)O values occur when the centre of these mid-latitude cyclonic systems pass much further south of Tasmania. In the latter, only the distal limits of the fronts associated with these low pressure systems cross Tasmania and airflow has a stronger zonal component. In addition, synoptic patterns causing advection of air from lower latitudes towards Tasmania may raise the delta(18)O value of precipitation. Oxygen isotope records from southern Australia should not be interpreted exclusively as proxies for temperature changes. (C) 2004 Elsevier B.V. All rights reserved.</t>
  </si>
  <si>
    <t>Australian Natl Univ, Res Sch Earth Sci, Canberra, ACT 0200, Australia; Univ Tasmania, Antarctic Cooperat Res Ctr, Hobart, Tas 7001, Australia; Univ Melbourne, Parkville, Vic 3010, Australia</t>
  </si>
  <si>
    <t>Australian National University; University of Tasmania; University of Melbourne</t>
  </si>
  <si>
    <t>Univ Calif Los Angeles, Dept Earth &amp; Space Sci, 3806 Geol Bldg, Los Angeles, CA 90095 USA.</t>
  </si>
  <si>
    <t>pauline.treble@ess.ucla.edu</t>
  </si>
  <si>
    <t>Rustomji, Paul/D-5819-2011</t>
  </si>
  <si>
    <t>Treble, Pauline/0000-0002-1969-8555</t>
  </si>
  <si>
    <t>0022-1694</t>
  </si>
  <si>
    <t>1879-2707</t>
  </si>
  <si>
    <t>J HYDROL</t>
  </si>
  <si>
    <t>J. Hydrol.</t>
  </si>
  <si>
    <t>10.1016/j.jhydrol.2004.07.003</t>
  </si>
  <si>
    <t>Engineering, Civil; Geosciences, Multidisciplinary; Water Resources</t>
  </si>
  <si>
    <t>Engineering; Geology; Water Resources</t>
  </si>
  <si>
    <t>888TG</t>
  </si>
  <si>
    <t>WOS:000226396500017</t>
  </si>
  <si>
    <t>Banerjee, M; Sharma, D</t>
  </si>
  <si>
    <t>Comparative studies on growth and phosphatase activity of endolithic cyanobacterial isolates of Chroococcidiopis from hot and cold deserts</t>
  </si>
  <si>
    <t>JOURNAL OF MICROBIOLOGY AND BIOTECHNOLOGY</t>
  </si>
  <si>
    <t>Chroococcidiopsis; endolithic; cyanobacteria; phosphomonoesterase; immobilization; whole communities; Antarctic; Arizona</t>
  </si>
  <si>
    <t>BLUE-GREEN-ALGAE; DRY VALLEYS; MICROORGANISMS; COMMUNITIES; PHOSPHORUS; SURFACE; ROCKS; WATER; MARS</t>
  </si>
  <si>
    <t>The growth and phosphatase (phosphomonoesterase) activity of Chroococcidiopsis culture isolated from the cryptoendoliths of the Antarctic were compared with a similar isolate from the Arizona hot desert. Such cyanobacteria living inside rocks share several features with the immobilized cells produced in the laboratory. This study has relevance because the availability of phosphorus is a key factor influencing the growth of these cyanobacteria in nature, in such unique ecological niches as the hot and cold deserts. Phosphatase activity therefore is of particular importance for these organisms if they are to survive without any other source of phosphorus availability. Also, there is paucity of knowledge regarding this aspect of study in cyanobacterial cultures from these extreme environments. The salient feature of this study shows the importance of specific pH and temperatures for growth and phosphatase activity of both cultures, although there were marked differences between the two isolates. The pH and temperature optima for growth and phosphatase activity (PMEase) of Chroococcidiopsis 1 and 2 were 9.5, 20degreesC and 8.5, 40degreesC respectively. The K-m and V-max values of cultured Chroococcidiopsis 1 showed lower affinity of PMEase for the substrate compared to the enzyme affinity of the same organism when found within the rocks; Chroococcidiopsis 2 and Arizona rocks containing the same alga however showed similar affinity of PMEase for the substrate. An interesting observation was the similarity in response of immobilized Chroococcidiopsis I culture and the same organism in the Antarctic rocks to low light and low temperature stimulation of PMEase. This thermal response seems to be related to the ability of the immobilized Antarctic isolate and the rocks to either cryoprotect the PMEase or undergo a change to save the enzyme from becoming nonfunctional under low temperatures. The free cells of Chroococcidiopsis 1 culture however did not show such responses.</t>
  </si>
  <si>
    <t>Barkatullah Univ, Dept Biosci, Lab Algal Biotechnol, Bhopal 462026, India</t>
  </si>
  <si>
    <t>Barkatullah University</t>
  </si>
  <si>
    <t>Banerjee, M (corresponding author), Barkatullah Univ, Dept Biosci, Lab Algal Biotechnol, Bhopal 462026, India.</t>
  </si>
  <si>
    <t>meenakshi_banerjee@indiatimes.com</t>
  </si>
  <si>
    <t>KOREAN SOC MICROBIOLOGY &amp; BIOTECHNOLOGY</t>
  </si>
  <si>
    <t>SEOUL</t>
  </si>
  <si>
    <t>KOREA SCI TECHNOL CENTER #507, 635-4 YEOGSAM-DONG, KANGNAM-GU, SEOUL 135-703, SOUTH KOREA</t>
  </si>
  <si>
    <t>1017-7825</t>
  </si>
  <si>
    <t>J MICROBIOL BIOTECHN</t>
  </si>
  <si>
    <t>J. Microbiol. Biotechnol.</t>
  </si>
  <si>
    <t>901VA</t>
  </si>
  <si>
    <t>WOS:000227309000020</t>
  </si>
  <si>
    <t>Kuo, A; Plumb, RA; Marshall, J</t>
  </si>
  <si>
    <t>Transformed Eulerian-mean theory. part II: Potential vorticity homogenization and the equilibrium of a wind- and buoyancy-driven zonal flow</t>
  </si>
  <si>
    <t>ANTARCTIC CIRCUMPOLAR CURRENT; CIRCULATION; OCEAN; EDDIES; MODEL</t>
  </si>
  <si>
    <t>The equilibrium of a modeled wind- and buoyancy-driven, baroclinically unstable, flow is analyzed using the transformed Eulerian-mean (TEM) approach described in Part I. Within the near-adiabatic interior of the flow, Ertel potential vorticity is homogenized along mean isopycnals-a finding readily explained using TEM theory, given the geometry of the domain. The equilibrium, zonal-mean buoyancy structure at the surface is determined entirely by a balance between imposed surface fluxes and residual mean and eddy buoyancy transport within a surface diabatic layer. Balance between these same processes and the wind stress determines the stratification, and hence potential vorticity, immediately below this layer. Ertel potential vorticity homogenization below then determines the mean buoyancy structure everywhere. Accordingly, the equilibrium structure of this flow can be described-and quantitatively reproduced-from knowledge of the eddy mixing rates within the surface diabatic zone and the depth of this zone, together with potential vorticity homogenization beneath. These results emphasize the need to include near-surface buoyancy transport, as well as interior PV transport, in eddy parameterization schemes. They also imply that. in more realistic models, the surface buoyancy balances may be impacted by processes in remote locations that allow diapycnal flow.</t>
  </si>
  <si>
    <t>MIT, DEAPS, Program Atmospheres Oceans &amp; Climate, Cambridge, MA 02139 USA</t>
  </si>
  <si>
    <t>Massachusetts Institute of Technology (MIT)</t>
  </si>
  <si>
    <t>MIT, DEAPS, Program Atmospheres Oceans &amp; Climate, MIT Bldg 54,Room 1712,77 Massachusetts Ave, Cambridge, MA 02139 USA.</t>
  </si>
  <si>
    <t>rap@rossby.mit.edu</t>
  </si>
  <si>
    <t>10.1175/JPO-2670.1</t>
  </si>
  <si>
    <t>908NS</t>
  </si>
  <si>
    <t>WOS:000227794300004</t>
  </si>
  <si>
    <t>Ohshima, KI; Nihashi, S</t>
  </si>
  <si>
    <t>A simplified ice-ocean coupled model for the Antarctic ice melt season</t>
  </si>
  <si>
    <t>SOUTHERN-OCEAN; WEDDELL SEA; PACK ICE; MIXED LAYER; SIMULATION; DYNAMICS; VARIABILITY; CIRCULATION; SYSTEM; MOTION</t>
  </si>
  <si>
    <t>In the Antarctic Ocean, sea ice melts mostly by warming of the ocean mixed layer through heat input (mainly solar radiation) in open water areas. A simplified ice-upper ocean coupled model is proposed in which sea ice melts only by the ocean heat supplied from the air. The model shows that the relationship between ice concentration (i.e., fraction, C) and mixed layer temperature (T) converges asymptotically with time (C-T relationship), which agrees with observed C-T plots during summer in the sector 25 degrees-45 degrees E. This relationship can be used for estimating the bulk heat transfer coefficient between ice and ocean by fitting to observations, and a value of 1.2 X 10(-4) m s(-1) is obtained. The model shows that the ratio of the heat used for melting to the heat input through open water is inclined to be determined as a function of ice concentration. For typical conditions in the Antarctic ice melt season, the ratio ranges mostly between 0.7 and 0.9. When the model is extended to two dimensions in the meridional direction, with the inclusion of wind forcing, it approximately reproduces the meridional retreat of the Antarctic sea ice. This two-dimensional model can describe the open water-albedo feedback effect, which partly explains the year-to-year variation of the sea-ice retreat in the Antarctic Ocean.</t>
  </si>
  <si>
    <t>Hokkaido Univ, Inst Low Temp Sci, Kita Ku, Sapporo, Hokkaido 0600819, Japan; NASA, Lab Hydrospher Proc, Goddard Space Flight Ctr, Greenbelt, MD 20771 USA</t>
  </si>
  <si>
    <t>Hokkaido University; National Aeronautics &amp; Space Administration (NASA); NASA Goddard Space Flight Center</t>
  </si>
  <si>
    <t>Hokkaido Univ, Inst Low Temp Sci, Kita Ku, Kita 19,Nishi 8, Sapporo, Hokkaido 0600819, Japan.</t>
  </si>
  <si>
    <t>ohshima@lowtem.hokudai.ac.jp</t>
  </si>
  <si>
    <t>Ohshima, Kay I/D-6909-2012</t>
  </si>
  <si>
    <t>10.1175/JPO-2675.1</t>
  </si>
  <si>
    <t>WOS:000227794300005</t>
  </si>
  <si>
    <t>Chmel, A; Smirnov, VN; Astakhov, MP</t>
  </si>
  <si>
    <t>The fractality of sea-ice drift dynamics as revealed from the 'North Pole 32' monitoring</t>
  </si>
  <si>
    <t>JOURNAL OF STATISTICAL MECHANICS-THEORY AND EXPERIMENT</t>
  </si>
  <si>
    <t>dynamical processes (experiment)</t>
  </si>
  <si>
    <t>FRACTURE</t>
  </si>
  <si>
    <t>The temporal characteristics of sea-ice motion were analysed using the database of field observations obtained during the drift of the ice camp 'North Pole 32' in 2003. A characteristic length related to the stationary component of drift was revealed from the traversed path distribution while the acceleration events were found to be correlated in time. The Grassberger-Procaccia correlation function differs from the linear dependence (characteristic for uncorrelated events) the more the stronger accelerations are taken into account. The spatial scaling of the collection of sea-ice pieces was deduced from the analysis of satellite images of the region of drift. The temporal correlation of mechanical motion is combined with the spatial invariance of the sea-ice cover.</t>
  </si>
  <si>
    <t>Russian Acad Sci, AF Ioffe Physicotech Inst, Fracture Phys Dept, St Petersburg 194021, Russia; Arctic &amp; Antarctic Res Inst, St Petersburg 199397, Russia</t>
  </si>
  <si>
    <t>Russian Academy of Sciences; St. Petersburg Scientific Centre of the Russian Academy of Sciences; Ioffe Physical Technical Institute; Arctic &amp; Antarctic Research Institute</t>
  </si>
  <si>
    <t>Russian Acad Sci, AF Ioffe Physicotech Inst, Fracture Phys Dept, St Petersburg 194021, Russia.</t>
  </si>
  <si>
    <t>chmel@mail.ioffe.ru; smirnov@aari.nw.ru</t>
  </si>
  <si>
    <t>1742-5468</t>
  </si>
  <si>
    <t>J STAT MECH-THEORY E</t>
  </si>
  <si>
    <t>J. Stat. Mech.-Theory Exp.</t>
  </si>
  <si>
    <t>P02002</t>
  </si>
  <si>
    <t>10.1088/1742-5468/2005/02/P02002</t>
  </si>
  <si>
    <t>Mechanics; Physics, Mathematical</t>
  </si>
  <si>
    <t>Mechanics; Physics</t>
  </si>
  <si>
    <t>901TJ</t>
  </si>
  <si>
    <t>WOS:000227304500007</t>
  </si>
  <si>
    <t>Michels, J; Schnack-Schiel, SB</t>
  </si>
  <si>
    <t>Feeding in dominant Antarctic copepods - does the morphology of the mandibular gnathobases relate to diet?</t>
  </si>
  <si>
    <t>MARGINAL ICE-ZONE; METRIDIA-GERLACHEI GIESBRECHT; SCANNING ELECTRON-MICROSCOPY; MIDWATER FOOD WEB; WEDDELL-SEA; CALANOID COPEPODS; EUCHAETA-ANTARCTICA; SOUTHERN-OCEAN; MARINE COPEPODS; POPULATION-STRUCTURE</t>
  </si>
  <si>
    <t>This study should clarify the importance of morphology and stability of the mandibular gnathobases for the diet of Antarctic copepod species. The gnathobase morphology of the dominant copepod species Calanoides acutus, Calanus propinquus, Ctenocalanus citer, Rhincalanus gigas, Metridia gerlachei, Stephos longipes, Microcalanus pygmaeus and Paraeuchaeta antarctica from the Southern Ocean was investigated in detail by means of a scanning electron microscope. The mandibular gnathobases of C. acutus, C. propinquus and C. citer have relatively short and compact teeth. These species feed mainly on diatoms and are able to crack the silicious diatom frustules with their mandibular gnathobases by directed pressure. In contrast the teeth of the mandibular gnathobases of P. antarctica are very long and pointed. The nutrition of this species consists predominantly of other smaller copepod species. The motile prey can be held by skewering, using the gnathobases, and then eventually minced. The mandibular gnathobases of P. antarctica have notably more small bristles than those of the other investigated copepod species. These bristles are probably associated with receptors and could serve to locate the prey. The morphology of the gnathobases of R. gigas and M. gerlachei is between that of P. antarctica on the one side and that of C. acutus, C. propinquus and C. citer on the other. Based on the morphology of its gnathobases the copepod species S. longipes, which has to date been found to feed primarily on phytoplankton, mainly ice algae, must also be considered a zooplankton feeder. The investigation showed that M. pygmaeus has gnathobases with surprisingly long and pointed teeth, indicating that this species very probably feeds both on phyto- and on zooplankton organisms. While the mandibular gnathobases of the males of C. propinquus, R. gigas, M. gerlachei and S. longipes have the same morphology as the females of the respective species, in the other four investigated copepod species the males have reduced (C. acutus, C. citer and M. pygmaeus) or completely missing mandibular gnathobases (P. antarctica). The teeth of the gnathobases of all studied species with the exception of M. gerlachei consist of a different material than the remaining parts of the gnathobases. This material seems to be silicate, which probably enhances the stability of the gnathobase teeth.</t>
  </si>
  <si>
    <t>Michels, J (corresponding author), Alfred Wegener Inst Polar &amp; Marine Res, POB 120161, D-27515 Bremerhaven, Germany.</t>
  </si>
  <si>
    <t>jmichels@awi-bremerhaven.de</t>
  </si>
  <si>
    <t>Michels, Jan/B-1023-2014</t>
  </si>
  <si>
    <t>10.1007/s00227-004-1452-1</t>
  </si>
  <si>
    <t>894RW</t>
  </si>
  <si>
    <t>WOS:000226810300006</t>
  </si>
  <si>
    <t>Igual, JM; Forero, MG; Tavecchia, G; González-Solis, J; Martínez-Abraín, A; Hobson, KA; Ruiz, X; Oro, D</t>
  </si>
  <si>
    <t>Short-term effects of data-loggers on Cory's shearwater (Calonectris diomedea)</t>
  </si>
  <si>
    <t>FORAGING TRIP DURATION; STABLE-ISOTOPES; RADIO TRANSMITTERS; ATTACHMENT; SEABIRDS; BEHAVIOR; STRATEGIES; PENGUINS; NITROGEN; ECOLOGY</t>
  </si>
  <si>
    <t>We investigated the possible effects of a 12-g data-logger attached to a darvic ring on the performance of Cory's shearwater (Calonectris diomedea, 600-850 g) from two different colonies in the western Mediterranean Sea. We compared return rates, current breeding success and body condition between equipped and unequipped birds. Effects on feeding ecology during winter and breeding period was also evaluated through the measurement of stable isotopes of carbon (delta(13)C) and nitrogen (delta(15)N) in one of the colonies. We found no evidence of negative effects of loggers on demographic parameters analysed or in feeding ecology. Power analyses suggested a high power to detect medium effect size, but a low power to detect small changes. Despite the non-significant results we could only exclude medium to strong effects of the devices on one of these parameters. We detected some short-term negative effects on body condition for the equipped birds, but these were unlikely to have had important consequences. Results suggest that the use of loggers is an adequate methodology to obtain information from seabirds at sea, but data should be carefully interpreted with regard to potential biases during severe environmental conditions.</t>
  </si>
  <si>
    <t>UIB, CSIC, IMEDEA, Inst Mediterraneo Estudios Avanzados, Esporles 07190, Mallorca, Spain; Estac Biol Donana, Dept Appl Biol, E-41013 Seville, Spain; Univ Barcelona, Dep Biol Anim Vertebrates, E-08028 Barcelona, Spain; British Antarctic Survey, Nat Environm Res Council, Cambridge CB3 OET, England; Canadian Wildlife Serv, Saskatoon, SK S7N 0X4, Canada</t>
  </si>
  <si>
    <t>Universitat de les Illes Balears; Consejo Superior de Investigaciones Cientificas (CSIC); ATTITUS Educacao; Consejo Superior de Investigaciones Cientificas (CSIC); CSIC - Estacion Biologica de Donana (EBD); University of Barcelona; UK Research &amp; Innovation (UKRI); Natural Environment Research Council (NERC); NERC British Antarctic Survey; Environment &amp; Climate Change Canada; Canadian Wildlife Service</t>
  </si>
  <si>
    <t>UIB, CSIC, IMEDEA, Inst Mediterraneo Estudios Avanzados, Miquel Marques 21, Esporles 07190, Mallorca, Spain.</t>
  </si>
  <si>
    <t>jm.igual@uib.es</t>
  </si>
  <si>
    <t>Igual, Jose/N-3975-2014; Tavecchia, Giacomo/N-3961-2014; Hobson, Keith/Q-9306-2019; González-Solís, Jacob/AAB-1161-2019; Oro, Daniel/H-4208-2012; Gonzalez-Solis, Jacob/C-3942-2008; Martinez-Abrain, Alejandro/G-4522-2016</t>
  </si>
  <si>
    <t>Igual, Jose/0000-0002-8369-3150; Tavecchia, Giacomo/0000-0001-5435-2691; Oro, Daniel/0000-0003-4782-3007; Gonzalez-Solis, Jacob/0000-0002-8691-9397; Martinez-Abrain, Alejandro/0000-0001-8009-4331; Gonzalez Forero, Manuela/0000-0001-9157-9705</t>
  </si>
  <si>
    <t>10.1007/s00227-004-1461-0</t>
  </si>
  <si>
    <t>WOS:000226810300016</t>
  </si>
  <si>
    <t>Barnes, DKA</t>
  </si>
  <si>
    <t>Body and resource size at the land-sea interface</t>
  </si>
  <si>
    <t>TROPICAL HERMIT-CRABS; SHELL UTILIZATION; GASTROPOD SHELLS; QUIRIMBA ISLAND; ECOLOGY; DIVERSITY; STRESS; ADAPTATION; MOZAMBIQUE; TEMPERATE</t>
  </si>
  <si>
    <t>Body size in animals varies with many parameters, amongst them taxonomic affiliation, lifestyle and ambient environment oxygen levels. Size has considerable implication to possibilities for animals; for example, parasites need to be small and top predators large. Body size and resource requirements (shell size) were investigated across the land-sea interface in hermit crabs (Crustacea: Malacostraca: Decapoda) and snails (Mollusca: Gastropoda: Prosobranchia). These are two of the few taxa to occur in the sea, on the shore and on land as residents. Both taxa are also appropriate for such an analysis as they are abundant, speciose, cohabit the same environments and are linked-gastropod shells are a critical resource to hermit crabs. Both the maximum and mean sizes of hermit crab species showed parabolic relationships with shore height, decreasing from the sublittoral and supralittoral to the eulittoral. Average maximum size of gastropods exhibited a similar intertidal minimum although variability was high. It is suggested that this pattern is robust: not only did two distantly related taxa show the same pattern, but neither region nor site contributed significantly to total variability. The mass of resources (gastropod shells) used by hermit crabs, however, showed a converse pattern. The smallest shells (relative to hermit crab body size) were used in the sublittoral and supralittoral. Response to environmental stress and predation pressure are offered as two alternate theories to explain the observed body dwarfism and resource gigantism in the intertidal zone.</t>
  </si>
  <si>
    <t>British Antarctic Survey, Nat Environm Res Council, Cambridge CB3 OET, England</t>
  </si>
  <si>
    <t>Barnes, DKA (corresponding author), British Antarctic Survey, Nat Environm Res Council, High Cross,Madingley Rd, Cambridge CB3 OET, England.</t>
  </si>
  <si>
    <t>10.1007/s00227-004-1451-2</t>
  </si>
  <si>
    <t>WOS:000226810300017</t>
  </si>
  <si>
    <t>Santos, IR; Silva, EV; Schaefer, CEGR; Albuquerque, MR; Campos, LS</t>
  </si>
  <si>
    <t>Heavy metal contamination in coastal sediments and soils near the Brazilian Antarctic Station, King George Island</t>
  </si>
  <si>
    <t>Antarctica; pollution; trace metals; coastal environment; bulk fraction; Ferraz Station</t>
  </si>
  <si>
    <t>BENTHIC MARINE POLLUTION; TRACE-METALS; DIAGENETIC PROCESSES; SURFACE SEDIMENTS; MCMURDO-STATION; BAY; ESTUARINE; SEA; GEOCHEMISTRY; ENVIRONMENT</t>
  </si>
  <si>
    <t>This paper investigates the natural and anthropogenic processes controlling sediment chemistry in Admiralty Bay, King George Island, Antarctica, emphasizing the area affected by the Brazilian Antarctic Station Comandante Ferraz (Ferraz). Total and bioavailable concentrations of sixteen elements were determined in 32 sediment and 14 soils samples. Factor analysis allowed us to distinguish three groups of samples: (1) Ferraz sediments, with higher content of total trace metals and organic matter; (2) control sediments, with intermediate characteristics; (3) Ferraz soils, with higher bioavailability of most metals due to its oxidizing condition and low organic matter content. Major elements such as Fe, Al, Ca and Ti presented similar levels in all three groups. Enrichment factor calculations showed that paints, sewage and petroleum contamination enhanced metal concentrations in Ferraz surface sediments as follows: B, Mo, and Pb (&gt; 90%); V and Zn (70-80%); Ni, Cu, Mg, and Mn (30-40%). Despite evidence of contamination in these sediments, the low bioavailability, probably caused by iron-sulfide, indicates small environmental risks. (c) 2004 Elsevier Ltd. All rights reserved.</t>
  </si>
  <si>
    <t>Univ Fed Fluminense, Dept Geoquim, BR-24020007 Niteroi, RJ, Brazil; Univ Fed Vicosa, Dept Solos, BR-36570000 Vicosa, MG, Brazil; Univ Fed Rio de Janeiro, Dept Zool, BR-21949900 Rio De Janeiro, Brazil</t>
  </si>
  <si>
    <t>Universidade Federal Fluminense; Universidade Federal de Vicosa; Universidade Federal do Rio de Janeiro</t>
  </si>
  <si>
    <t>Univ Fed Fluminense, Dept Geoquim, BR-24020007 Niteroi, RJ, Brazil.</t>
  </si>
  <si>
    <t>geoemma@vm.uff.br</t>
  </si>
  <si>
    <t>Schaefer, Carlos Ernesto/AAY-4977-2020; da Silva Filho, Emmanoel Vieira/Y-7281-2019; Santos, Isaac R./A-3960-2019; Silva-Filho, Emmanoel V/D-4902-2015; Campos, Lucia/L-9539-2013</t>
  </si>
  <si>
    <t>da Silva Filho, Emmanoel Vieira/0000-0001-6444-6851; Santos, Isaac R./0000-0003-0524-842X; Ernesto Goncalves Reynaud Schaefer, Carlos/0000-0001-7060-1598; Ernesto Goncalves Reynaud Schaefer, Carlos/0000-0001-5735-3227; Campos, Lucia/0000-0002-3648-7450</t>
  </si>
  <si>
    <t>10.1016/j.marpolbul.2004.10.009</t>
  </si>
  <si>
    <t>908BK</t>
  </si>
  <si>
    <t>WOS:000227762000019</t>
  </si>
  <si>
    <t>Genge, MJ; Gileski, A; Grady, MM</t>
  </si>
  <si>
    <t>Chondrules in Antarctic micrometeorites</t>
  </si>
  <si>
    <t>INTERPLANETARY DUST; ATMOSPHERIC ENTRY; COSMIC SPHERULES; ORDINARY CHONDRITES; MINERALOGY; METEORITES; COLLECTION; IMPACTS</t>
  </si>
  <si>
    <t>Previous studies of unmelted micrometeorites (&gt; 50 μ m) recovered from Antarctic ice have concluded that chondrules, which are a major component of chondritic meteorites, are extremely rare among micrometeorites. We report the discovery of eight micrometeorites containing chondritic igneous objects, which strongly suggests that at least a portion of coarse-grained crystalline micrometeorites represent chondrule fragments. Six of the particles are identified as composite micrometeorites that contain chondritic igneous objects and fine-grained matrix. These particles suggest that at least some coarse-grained micrometeorites (cgMMs) may be derived from the same parent bodies as fine-grained micrometeorites. The new evidence indicates that, contrary to previous suggestions, the parent bodies of micrometeorites broadly resemble the parent asteroids of chondrule-bearing carbonaceous chondrites.</t>
  </si>
  <si>
    <t>Univ London Imperial Coll Sci Technol &amp; Med, Dept Earth Sci &amp; Engn, London SW7 2AZ, England; Museum Nat Hist, Dept Mineral, London SW7 5BD, England</t>
  </si>
  <si>
    <t>Imperial College London; Natural History Museum London</t>
  </si>
  <si>
    <t>Genge, MJ (corresponding author), Univ London Imperial Coll Sci Technol &amp; Med, Dept Earth Sci &amp; Engn, Exhibit Rd, London SW7 2AZ, England.</t>
  </si>
  <si>
    <t>m.genge@imperial.ac.uk</t>
  </si>
  <si>
    <t>Grady, Monica/0000-0002-4055-533X</t>
  </si>
  <si>
    <t>METEORITICAL SOC</t>
  </si>
  <si>
    <t>FAYETTEVILLE</t>
  </si>
  <si>
    <t>DEPT CHEMISTRY/BIOCHEMISTRY, UNIV ARKANSAS, FAYETTEVILLE, AR 72701 USA</t>
  </si>
  <si>
    <t>10.1111/j.1945-5100.2005.tb00377.x</t>
  </si>
  <si>
    <t>924GW</t>
  </si>
  <si>
    <t>WOS:000228968000006</t>
  </si>
  <si>
    <t>Hoffman, JI; Amos, W</t>
  </si>
  <si>
    <t>Microsatellite genotyping errors: detection approaches, common sources and consequences for paternal exclusion</t>
  </si>
  <si>
    <t>adjacent allele heterozygote; allelic dropout; Antarctic fur seal; Arctocephalus gazella; genotyping error rate; paternity; pinniped; scoring error</t>
  </si>
  <si>
    <t>ARCTOCEPHALUS-GAZELLA; GENETIC-ANALYSIS; POPULATION-SIZE; FUR SEALS; DNA; SAMPLES; ALLELES; MARKERS; PCR; AMPLIFICATION</t>
  </si>
  <si>
    <t>Microsatellite genotyping errors will be present in all but the smallest data sets and have the potential to undermine the conclusions of most downstream analyses. Despite this, little rigorous effort has been made to quantify the size of the problem and to identify the commonest sources of error. Here, we use a large data set comprising almost 2000 Antarctic fur seals Arctocephalus gazella genotyped at nine hypervariable microsatellite loci to explore error detection methods, common sources of error and the consequences of errors on paternal exclusion. We found good concordance among a range of contrasting approaches to error-rate estimation, our range being 0.0013 to 0.0074 per single locus PCR (polymerase chain reaction). The best approach probably involves blind repeat-genotyping, but this is also the most labour-intensive. We show that several other approaches are also effective at detecting errors, although the most convenient alternative, namely mother-offspring comparisons, yielded the lowest estimate of the error rate. In total, we found 75 errors, emphasizing their ubiquitous presence. The most common errors involved the misinterpretation of allele banding patterns (n = 60,80%) and of these, over a third (n = 22,36.7%) were due to confusion between homozygote and adjacent allele heterozygote genotypes. A specific test for whether a data set contains the expected number of adjacent allele heterozygotes could provide a useful tool with which workers can assess the likely size of the problem. Error rates are also positively correlated with both locus polymorphism and product size, again indicating aspects where extra effort at error reduction should be directed. Finally, we conducted simulations to explore the potential impact of genotyping errors on paternity exclusion. Error rates as low as 0.01 per allele resulted in a rate of false paternity exclusion exceeding 20%. Errors also led to reduced estimates of male reproductive skew and increases in the numbers of pups that matched more than one candidate male. Because even modest error rates can be strongly influential, we recommend that error rates should be routinely published and that researchers make an attempt to calculate how robust their analyses are to errors.</t>
  </si>
  <si>
    <t>Univ Cambridge, Dept Zool, Cambridge CB2 3EJ, England</t>
  </si>
  <si>
    <t>Univ Cambridge, Dept Zool, Downing St, Cambridge CB2 3EJ, England.</t>
  </si>
  <si>
    <t>jih24@cam.ac.uk</t>
  </si>
  <si>
    <t>Hoffman, Joseph/K-7725-2012</t>
  </si>
  <si>
    <t>Hoffman, Joseph/0000-0001-5895-8949</t>
  </si>
  <si>
    <t>10.1111/j.1365-294X.2004.02419.x</t>
  </si>
  <si>
    <t>896IT</t>
  </si>
  <si>
    <t>WOS:000226928500020</t>
  </si>
  <si>
    <t>Siegenthaler, U; Monnin, E; Kawamura, K; Spahni, R; Schwander, J; Stauffer, B; Stocker, TF; Barnola, JM; Fischer, H</t>
  </si>
  <si>
    <t>Supporting evidence from the EPICA Dronning Maud Land ice core for atmospheric CO2 changes during the past millennium</t>
  </si>
  <si>
    <t>LAST MILLENNIUM; AIR; ANTARCTICA; DOME; PEROXIDE; N2O; CH4</t>
  </si>
  <si>
    <t>The most direct method of investigating past variations of the atmospheric CO2 concentration before 1958, when continuous direct atmospheric CO2 measurements started, is the analysis of air extracted from suitable ice cores. Here we present a new detailed CO2 record from the Dronning Maud Land (DML) ice core, drilled in the framework of the European Project for Ice Coring in Antarctica (EPICA) and some new measurements on a previously drilled ice core from the South Pole. The DML CO2 record shows an increase from about 278 to 282 parts per million by volume (ppmv) between AD 1000 and AD 1200 and a fairly continuous decrease to a mean value of about 277 ppmv around AD 1700. While the new South Pole measurements agree well with DML at the minimum at AD 1700 they are on average about 2 ppmv lower during the period AD 1000- 1500. Published measurements from the coastal high- accumulation site Law Dome are considered as very reliable because of the reproducibility of the measurements, high temporal resolution and an accurate time scale. Other Antarctic ice cores could not, or only partly, reproduce the pre- industrial measurements from Law Dome. A comparison of the trends of DML and Law Dome shows a general agreement. However we should be able to rule out co- variations caused by the same artefact. Two possible effects are discussed, first production of CO2 by chemical reactions and second diffusion of dissolved air through the ice matrix into the bubbles. While the first effect cannot be totally excluded, comparison of the Law Dome and DML record shows that dissolved air diffusing to bubbles cannot be responsible for the pre- industrial variation. Therefore, the new record is not a proof of the Law Dome results but the first very strong support from an ice core of the Antarctic plateau.</t>
  </si>
  <si>
    <t>Univ Bern, Inst Phys, Bern, Switzerland; CNRS, Lab Glaciol &amp; Geophys Environm, Grenoble, France; Alfred Wegener Inst Polar &amp; Marine Res, Bremerhaven, Germany</t>
  </si>
  <si>
    <t>University of Bern; Communaute Universite Grenoble Alpes; Universite Grenoble Alpes (UGA); Centre National de la Recherche Scientifique (CNRS); Helmholtz Association; Alfred Wegener Institute, Helmholtz Centre for Polar &amp; Marine Research</t>
  </si>
  <si>
    <t>Univ Bern, Inst Phys, Bern, Switzerland.</t>
  </si>
  <si>
    <t>siegenthaler@climate.unibe.ch</t>
  </si>
  <si>
    <t>Stocker, Thomas F/B-1273-2013; Fischer, Hubertus/A-1211-2014; Kawamura, Kenji/C-7660-2011</t>
  </si>
  <si>
    <t>Fischer, Hubertus/0000-0002-2787-4221; Kawamura, Kenji/0000-0003-1163-700X</t>
  </si>
  <si>
    <t>10.1111/j.1600-0889.2005.00131.x</t>
  </si>
  <si>
    <t>890LZ</t>
  </si>
  <si>
    <t>WOS:000226514000005</t>
  </si>
  <si>
    <t>Yoshikawa-Inoue, H; Ishii, M</t>
  </si>
  <si>
    <t>Variations and trends of CO2 in the surface seawater in the Southern Ocean south of Australia between 1969 and 2002</t>
  </si>
  <si>
    <t>ATMOSPHERIC CO2; PARTIAL-PRESSURE; INTERANNUAL VARIABILITY; NORTH PACIFIC; CARBON; WESTERN; TASMANIA; PCO(2); FLUX; TEMPERATURE</t>
  </si>
  <si>
    <t>Measurements of the partial pressure of CO2 in surface seawater ( pCO(2)(sw)) were made in the Southern Ocean south of Australia during four cruises in January to February 1969, December 1983 to January 1984, December 1994 to January 1995 and January 2002. The spatial distribution of pCO(2)(sw) for the four cruises showed the same pattern north of the Sub- Antarctic Front (SAF), while year- to- year changes were noted south of the SAF. We evaluated the long- term trend of the pCO(2)(sw) representative of the zone between oceanographic fronts by taking into account changes in the seasonal variation in pCO(2)(sw) and the long- term increase of the sea- surface temperature (SST) of the Southern Hemisphere. The observed growth rate of pCO(2)(sw) was 0.7 +/- 0.1 muatm yr-(1) at its minimum, which was observed at the SST of 15degreesC north of the Subtropical Front (STF), 1.0 +/- 0.5 muatm yr(-1) in the Sub- Antarctic Zone (SAZ) between STF and SAF, 1.5 +/- 0.4 muatm yr(-1) in the Polar Frontal Zone (PFZ) between SAF and the Polar Front (PF) and 1.8 +/- 0.2 muatm yr(-1) in the Polar Zone (PZ) between PF and 62degreesS, determined as the northern edge of the Seasonal Sea Ice Zone (SSIZ) on the basis of surface salinity and satellite images. These increases were caused by the uptake of anthropogenic CO2 as well as variations in the thermodynamic temperature effect, ocean transport and biological activity. In the SSIZ between 62 and 66.5degreesS, we could not clearly evaluate the long- term trend of pCO(2)(sw) due to the remarkable CO2 drawdown due to biological activity in January 2002. The relatively low growth rates of pCO(2)(sw) close to the STF and in the SAZ are probably associated with the formation of Subtropical Mode Water and Sub- Antarctic Mode Water in their respective zones. Between the north of the STF and the PZ, the growth rate of total dissolved inorganic carbon was calculated to be about 0.5- 0.8 mumol kg(-1) yr(-1) via the buffer factor.</t>
  </si>
  <si>
    <t>Meteorol Res Inst, Dept Geochem, Tsukuba, Ibaraki 3050052, Japan</t>
  </si>
  <si>
    <t>Meteorological Research Institute - Japan</t>
  </si>
  <si>
    <t>Hokkaido Univ, Grad Sch Environm Earth Sci, Lab Marine &amp; Atmospher Geochem, Kita Ku, Kita 10,Nishi 5, Sapporo, Hokkaido 0600810, Japan.</t>
  </si>
  <si>
    <t>hyoshika@ees.hokudai.ac.jp</t>
  </si>
  <si>
    <t>Yoshikawa, Hisayuki/A-4056-2012</t>
  </si>
  <si>
    <t>Ishii, Masao/0000-0002-7328-4599</t>
  </si>
  <si>
    <t>10.1111/j.1600-0889.2005.00130.x</t>
  </si>
  <si>
    <t>WOS:000226514000006</t>
  </si>
  <si>
    <t>Tumanov, IL</t>
  </si>
  <si>
    <t>Geographical variability of biological parameters and the intraspecific status of some weasel (Mustela nivalis) forms</t>
  </si>
  <si>
    <t>ZOOLOGICHESKY ZHURNAL</t>
  </si>
  <si>
    <t>Russian</t>
  </si>
  <si>
    <t>BACULUM OS-PENIS; CARNIVORA; MAMMALIA</t>
  </si>
  <si>
    <t>An appreciable increase from the north to the south in the size of skull. body and their parts in Mustela nivalis L. inhabiting eastern Europe was observed. Short-tailed forms of M. nivalis dwelling in southern Russia, Ukraine. and the Caucasus do not practically differ. They are smaller than long-tailed individuals from different sites of the Caucasus region. The ecological-morphological, physiological, and molecular-genetic studies performed attests to the uniform complex of the M. nivalis forms and a high level of geographical variability of this species.</t>
  </si>
  <si>
    <t>Tumanov, IL (corresponding author), Arctic &amp; Antarctic Res Inst, St Petersburg 199397, Russia.</t>
  </si>
  <si>
    <t>itumanov@rambler.ru</t>
  </si>
  <si>
    <t>Tumanov, Igor/AAC-5472-2021</t>
  </si>
  <si>
    <t>MEZHDUNARODNAYA KNIGA</t>
  </si>
  <si>
    <t>MOSCOW</t>
  </si>
  <si>
    <t>39 DIMITROVA UL., 113095 MOSCOW, RUSSIA</t>
  </si>
  <si>
    <t>0044-5134</t>
  </si>
  <si>
    <t>ZOOL ZH</t>
  </si>
  <si>
    <t>Zool. Zhurnal</t>
  </si>
  <si>
    <t>911KZ</t>
  </si>
  <si>
    <t>WOS:000228002600010</t>
  </si>
  <si>
    <t>Margerison, HR; Phillips, WM; Stuart, FM; Sugden, DE</t>
  </si>
  <si>
    <t>Cosmogenic 3He concentrations in ancient flood deposits from the Coombs Hills, northern Dry Valleys, East Antarctica:: interpreting exposure ages and erosion rates</t>
  </si>
  <si>
    <t>stable cosmogenic isotopes He-3; exposure age; erosion rates; paleoclimatology; landscape evolution; Dry Valleys</t>
  </si>
  <si>
    <t>SOUTHERN VICTORIA LAND; MIOCENE GLACIER ICE; TRANSANTARCTIC-MOUNTAINS; SIRIUS GROUP; BEACON VALLEY; LANDSCAPE EVOLUTION; LAVA FLOWS; CONSTRAINTS; BE-10; HISTORY</t>
  </si>
  <si>
    <t>In situ produced cosmogenic He-3 analyses provide independent support for the model of a stable, hyper-arid polar climate persisting in East Antarctica since the mid-Miocene and provide quantitative constraints on long-term rates of erosion within the Dry Valleys. In the Coombs Hills area, a series of cobble-size boulders form mega-ripples with wavelengths of approximately 50 m. Their topographic position and association with features characteristic of scabland, such as stripped, corrugated bedrock surfaces, indicate the boulders were deposited by subglacial floodwaters. Such outburst flooding could only have occurred during overriding of the northern Dry Valleys by a greatly expanded East Antarctic ice sheet. Timing of the overriding episode has been previously assigned to 14.8 to 13.6 Ma by correlation with volcanic ash deposits dated by 40Ar/39Ar in the Asgard Range of the Dry Valleys. Cosmogenic He-3 concentrations in clinopyroxene from Ferrar dolerite boulders are consistent with 8.6 to 10.4 Ma exposure, calculated using scaling factors appropriate for Antarctica and assuming zero erosion. These are an tong the oldest surface exposure dates yet measured on Earth, but are not however consistent with the 40Ar/39Ar chronology used to define the age of the landscape due to unconstrained levels of erosion. Erosion rates of 0.03-0.06 m Ma(-1) are necessary to have produced the measured boulder exposure age if they were deposited at 14.8 Ma. These are less than half the steady-state erosion rate derived from cosmogenic He-3 in the nearby bedrock surfaces (0.17 m Ma(-1)) and testify to the extreme stability of the landscape. (C) 2004 Elsevier B.V. All rights reserved.</t>
  </si>
  <si>
    <t>Univ Edinburgh, Sch Geosci, Edinburgh EH8 9XP, Midlothian, Scotland; Scottish Univ Environm Res Ctr, Isotope Geosci Unit, E Kilbride G75 0QF, England</t>
  </si>
  <si>
    <t>University of Edinburgh</t>
  </si>
  <si>
    <t>Univ Edinburgh, Sch Geosci, Edinburgh EH8 9XP, Midlothian, Scotland.</t>
  </si>
  <si>
    <t>hrm@geo.ed.ac.uk</t>
  </si>
  <si>
    <t>Stuart, Finlay M/E-7417-2010; EIMF, EIMF/AAD-8512-2020</t>
  </si>
  <si>
    <t>EIMF, EIMF/0000-0001-6248-6657; Stuart, Finlay/0000-0002-6395-7868</t>
  </si>
  <si>
    <t>JAN 30</t>
  </si>
  <si>
    <t>10.1016/j.epsl.2004.11.007</t>
  </si>
  <si>
    <t>895JF</t>
  </si>
  <si>
    <t>WOS:000226856400011</t>
  </si>
  <si>
    <t>Revision of the genus Peraeospinosus Sieg, 1986 (Crustacea: Peracarida: Tanaidacea)</t>
  </si>
  <si>
    <t>JOURNAL OF NATURAL HISTORY</t>
  </si>
  <si>
    <t>Crustacea; Peracarida; Peraeospinosus; Tanaidacea; Typhlotanaidae; Typhlotanais</t>
  </si>
  <si>
    <t>MALACOSTRACA; ORIGIN</t>
  </si>
  <si>
    <t>Ten species, four new to science, five formerly belonging to genus Typhlotanais, and Peraeospinosus pushkini (Tzareva, 1982) are congeneric species, based on the following set of characters: a row of setae is present on the dorsal margin of the cheliped carpus, the distal seta of pereopods 4-5 exceeds the bifurcated unguis, large prickly tubercles on pereopods 4-6 surrounded by well-calcified spines, the pleopods semi-elliptical, and the rami of the uropod subequal in length. The new definition of the genus is proposed together with a key for identification of the females. The present-day distribution of the genus does not in itself indicate geographical origin, although the possibility of a deep-water origin cannot be excluded. It is assumed that phylogenetically young, blind Peraeospinosus could have colonized Antarctic free niches and then radiated.</t>
  </si>
  <si>
    <t>mgdab@biol.uni.lodz.pl</t>
  </si>
  <si>
    <t>0022-2933</t>
  </si>
  <si>
    <t>1464-5262</t>
  </si>
  <si>
    <t>J NAT HIST</t>
  </si>
  <si>
    <t>J. Nat. Hist.</t>
  </si>
  <si>
    <t>10.1080/00222930500450879</t>
  </si>
  <si>
    <t>Biodiversity Conservation; Ecology; Zoology</t>
  </si>
  <si>
    <t>Biodiversity &amp; Conservation; Environmental Sciences &amp; Ecology; Zoology</t>
  </si>
  <si>
    <t>012UP</t>
  </si>
  <si>
    <t>WOS:000235366100001</t>
  </si>
  <si>
    <t>Liu, ZY; Shin, SI; Webb, RS; Lewis, W; Otto-Bliesner, BL</t>
  </si>
  <si>
    <t>Atmospheric CO2 forcing on glacial thermohaline circulation and climate -: art. no. L02706</t>
  </si>
  <si>
    <t>CARBON-DIOXIDE; SEA-ICE; OCEAN; TEMPERATURE; MAXIMUM; DEGLACIATION; VARIABILITY; GREENLAND; SYSTEM; CYCLE</t>
  </si>
  <si>
    <t>A coupled climate model study indicates the paleoclimate record of glacial thermohaline circulation (THC) and reversed deep-sea temperature- salinity (T-S) distribution in the Atlantic can be explained largely by lower glacial atmospheric CO2 alone. The reduced CO2 leads to increased Southern Ocean wintertime sea-ice cover and salinity, increased production of dense Antarctic Bottom Water (AABW), enhanced cold and saline AABW penetration into the deep North Atlantic, increased oceanic vertical stability, and reduced North Atlantic Deep Water (NADW) circulation. The dominant role of CO2 forcing during the glacial implies a positive feedback between the Southern Ocean regulated THC and the glacial global carbon cycle.</t>
  </si>
  <si>
    <t>Univ Wisconsin, Ctr Climat Res, Madison, WI 53706 USA; Chinese Acad Sci, Earth Environm Inst, Xian, Peoples R China; NOAA, CIRES, Climate Diagnost Ctr, Boulder, CO 80305 USA; Natl Ctr Atmospher Res, Climate Change Res, Boulder, CO 80307 USA</t>
  </si>
  <si>
    <t>University of Wisconsin System; University of Wisconsin Madison; Chinese Academy of Sciences; University of Colorado System; University of Colorado Boulder; National Oceanic Atmospheric Admin (NOAA) - USA; National Center Atmospheric Research (NCAR) - USA</t>
  </si>
  <si>
    <t>Univ Wisconsin, Ctr Climat Res, 1225 W Dayton St, Madison, WI 53706 USA.</t>
  </si>
  <si>
    <t>zliu3@wisc.edu</t>
  </si>
  <si>
    <t>Otto-Bliesner, Bette/AAY-7691-2020</t>
  </si>
  <si>
    <t>JAN 27</t>
  </si>
  <si>
    <t>L02706</t>
  </si>
  <si>
    <t>10.1029/2004GL021929</t>
  </si>
  <si>
    <t>892XG</t>
  </si>
  <si>
    <t>WOS:000226682700006</t>
  </si>
  <si>
    <t>Getley, IL; Duldig, ML; Smart, DF; Shea, MA</t>
  </si>
  <si>
    <t>Radiation dose along North American transcontinental flight paths during quiescent and disturbed geomagnetic conditions</t>
  </si>
  <si>
    <t>SPACE WEATHER-THE INTERNATIONAL JOURNAL OF RESEARCH AND APPLICATIONS</t>
  </si>
  <si>
    <t>COSMIC-RADIATION; EXPOSURE</t>
  </si>
  <si>
    <t>[1] Commercial aircraft flights across the North American continent encounter a small radiation exposure ( normally &lt; 20 mu Sv) from galactic cosmic radiation. During October and November 2003, there was significant perturbation in the cosmic ray flux near the Earth due to extraordinary activity on the Sun. The associated sequence of solar flares and coronal mass ejections resulted in a significant decrease in the background galactic cosmic radiation levels upon which there were sudden impulsive increases from solar cosmic ray events. These fluctuations in the cosmic ray intensity were detectable at commercial aircraft cruising altitudes and at sea level cosmic ray neutron-monitoring stations. This paper compares the in-flight radiation dose data acquired during the disturbed conditions on 29 October 2003 with the dose data acquired over the same route in January 2004 during quiescent geomagnetic conditions. This comparison shows that during Forbush decreases or ground level cosmic ray increases, the CARI aircraft radiation dose prediction software does not adequately describe the radiation exposure from cosmic radiation.</t>
  </si>
  <si>
    <t>Univ New S Wales, Dept Aviat, Sydney, NSW 2052, Australia; Australian Antarctic Div, Kingston, Tas 7050, Australia; USAF, Res Lab, VSBX, Space Vehicles Directorate,Hanscom AFB, Bedford, MA 01731 USA</t>
  </si>
  <si>
    <t>University of New South Wales Sydney; Australian Antarctic Division; United States Department of Defense; United States Air Force</t>
  </si>
  <si>
    <t>Getley, IL (corresponding author), Univ New S Wales, Dept Aviat, Sydney, NSW 2052, Australia.</t>
  </si>
  <si>
    <t>getleyian@hotmail.com</t>
  </si>
  <si>
    <t>1542-7390</t>
  </si>
  <si>
    <t>SPACE WEATHER</t>
  </si>
  <si>
    <t>Space Weather</t>
  </si>
  <si>
    <t>JAN 26</t>
  </si>
  <si>
    <t>S01004</t>
  </si>
  <si>
    <t>10.1029/2004SW000110</t>
  </si>
  <si>
    <t>Astronomy &amp; Astrophysics; Geochemistry &amp; Geophysics; Meteorology &amp; Atmospheric Sciences</t>
  </si>
  <si>
    <t>909TU</t>
  </si>
  <si>
    <t>WOS:000227884400001</t>
  </si>
  <si>
    <t>Fricker, HA; Young, NW; Coleman, R; Bassis, JN; Minster, JB</t>
  </si>
  <si>
    <t>Multi-year monitoring of rift propagation on the Amery Ice Shelf, East Antarctica</t>
  </si>
  <si>
    <t>DISINTEGRATION</t>
  </si>
  <si>
    <t>We use satellite imagery from four sensors (Multi-angle Imaging SpectroRadiometer (MISR), Enhanced Thematic Mapper (ETM), and RADARSAT and ERS Synthetic Aperture Radar (SAR) to monitor the lengths of two rifts on the Amery Ice Shelf, from 1996 to 2004. We find that the rifts have each been propagating at a steady annual rate for the past 5 years. Superimposed on this steady rate is a seasonal signal, where propagation rates are significantly higher in the summer period (i.e., September-April) than in the winter period (i.e., April-September). Possible causes of this summer-winter effect are changing properties of the ice melange, which fills the rifts, and seasonal changes in ocean circulation beneath the ice shelf.</t>
  </si>
  <si>
    <t>Univ Calif San Diego, Scripps Inst Oceanog, Inst Geophys &amp; Planetary Phys, La Jolla, CA 92093 USA; Australian Antarctic Div, Dept Environm &amp; Heritage, Hobart, Tas 7001, Australia; Antarctic Climate &amp; Ecosyst Cooperat Res Ctr, Hobart, Tas 7001, Australia; Univ Tasmania, Sch Geog &amp; Environm Studies, Hobart, Tas 7001, Australia</t>
  </si>
  <si>
    <t>University of California System; University of California San Diego; Scripps Institution of Oceanography; Australian Antarctic Division; Antarctic Climate &amp; Ecosystems Cooperative Research Centre (ACE CRC); University of Tasmania</t>
  </si>
  <si>
    <t>Fricker, HA (corresponding author), Univ Calif San Diego, Scripps Inst Oceanog, Inst Geophys &amp; Planetary Phys, 9500 Gilman Dr, La Jolla, CA 92093 USA.</t>
  </si>
  <si>
    <t>hafricker@ucsd.edu</t>
  </si>
  <si>
    <t>Bassis, Jeremy/ABB-8628-2021; Coleman, Richard/H-4425-2012</t>
  </si>
  <si>
    <t>Bassis, Jeremy/0000-0003-2946-7176; Coleman, Richard/0000-0002-9731-7498; Young, Neal/0000-0001-9729-3273; Minster, Jean Bernard/0000-0003-1268-5177; Fricker, Helen Amanda/0000-0002-0921-1432</t>
  </si>
  <si>
    <t>JAN 21</t>
  </si>
  <si>
    <t>L02502</t>
  </si>
  <si>
    <t>10.1029/2004GL021036</t>
  </si>
  <si>
    <t>891JX</t>
  </si>
  <si>
    <t>WOS:000226578300002</t>
  </si>
  <si>
    <t>Joughin, I; MacAyeal, DR</t>
  </si>
  <si>
    <t>Calving of large tabular icebergs from ice shelf rift systems</t>
  </si>
  <si>
    <t>ANTARCTICA</t>
  </si>
  <si>
    <t>We used Interferometric Synthetic Aperture Radar to study the detachment process that allowed two large icebergs to calve from the Ross Ice Shelf, Antarctica. Time series of rift geometries indicate that rift widths increased steadily, whereas rift lengths increased episodically through several discrete rift-tip propagation events. We also conducted modeling experiments constrained by the observed rift geometry. Both the observations and model suggest that rift opening, and, thus, tabular-iceberg calving, are largely driven by glaciological stresses - stress introduced by the effect of gravity on the ice shelf - rather than by stress introduced by the ocean and atmosphere, e. g., tides and storms. This style of rift propagation is expected to determine the steady, background calving rate of ice shelves and, thus, differs significantly from styles that led to the recent disintegration of ice shelves in response to climate warming, e.g., the Larsen B Ice Shelf on the Antarctic Peninsula.</t>
  </si>
  <si>
    <t>CALTECH, Jet Prop Lab, Pasadena, CA USA; Univ Chicago, Dept Geophys Sci, Chicago, IL 60637 USA</t>
  </si>
  <si>
    <t>National Aeronautics &amp; Space Administration (NASA); NASA Jet Propulsion Laboratory (JPL); California Institute of Technology; University of Chicago</t>
  </si>
  <si>
    <t>Univ Washington, Appl Phys Lab, Polar Sci Ctr, 1013 NE 40th St, Seattle, WA 98105 USA.</t>
  </si>
  <si>
    <t>ian@apl.washington.edu; drm7@midway.uchicago.edu</t>
  </si>
  <si>
    <t>Winberry, Paul/E-5557-2011; Joughin, Ian R/A-2998-2008; Joughin, Ian/AAR-7778-2021</t>
  </si>
  <si>
    <t>Joughin, Ian R/0000-0001-6229-679X; Joughin, Ian/0000-0001-6229-679X; MacAyeal, Douglas/0000-0003-0647-6176</t>
  </si>
  <si>
    <t>L02501</t>
  </si>
  <si>
    <t>10.1029/2004GL020978</t>
  </si>
  <si>
    <t>WOS:000226578300001</t>
  </si>
  <si>
    <t>Alvarez-Madrigal, M; Pérez-Peraza, J</t>
  </si>
  <si>
    <t>Analysis of the evolution of the Antarctic ozone hole size -: art. no. D02107</t>
  </si>
  <si>
    <t>TRENDS</t>
  </si>
  <si>
    <t>[1] The Antarctic ozone hole in the stratospheric layer has two basic parameters: depth and size. In this work the evolution of the ozone hole size ( OHS) is analyzed using the monthly mean data for September, October, and November during 1982 - 2003. On the basis of the analysis of subsets of the data series we found signals of a reversal in the OHS trend during the period 1995 - 2003 for the months of October and November. On the other hand, the trends of the OHS subsets for the month of September show cyclical changes that approximately follow the variations of the geomagnetic Ap index and the 10.7- cm solar flux index. The detected beginning of the recovery process is a good test for models in order to match observations.</t>
  </si>
  <si>
    <t>Univ Nacl Autonoma Mexico, Inst Geofis, Mexico City 04510, DF, Mexico</t>
  </si>
  <si>
    <t>Alvarez-Madrigal, M (corresponding author), Univ Nacl Autonoma Mexico, Inst Geofis, Mexico City 04510, DF, Mexico.</t>
  </si>
  <si>
    <t>mmadrigal@itesm.mx</t>
  </si>
  <si>
    <t>Perez y Peraza, Jorge/0000-0001-8998-3653</t>
  </si>
  <si>
    <t>D2</t>
  </si>
  <si>
    <t>D02107</t>
  </si>
  <si>
    <t>10.1029/2004JD004944</t>
  </si>
  <si>
    <t>891KG</t>
  </si>
  <si>
    <t>WOS:000226579200003</t>
  </si>
  <si>
    <t>Vieli, A; Payne, AJ</t>
  </si>
  <si>
    <t>Assessing the ability of numerical ice sheet models to simulate grounding line migration</t>
  </si>
  <si>
    <t>JOURNAL OF GEOPHYSICAL RESEARCH-EARTH SURFACE</t>
  </si>
  <si>
    <t>SEA-LEVEL RISE; STREAM-B; RETREAT; SENSITIVITY; GREENLAND; DYNAMICS; FLOW</t>
  </si>
  <si>
    <t>[ 1] Grounding line migration is a key process affecting the stability of marine ice sheets such as the West Antarctic ice sheet ( WAIS). Grounding line motion is often included in numerical models simulating the past and future evolution of the WAIS; however, little attention has been paid to the numerical consistency of these models. The aim of this paper is to assess the ability of simple versions of existing marine ice sheet models to simulate grounding line migration. In particular, we investigate the response of the grounding line to external forcing and the sensitivity of the models' predictions to their numerics and the mechanical coupling between ice sheet and shelf. From the model comparison, there is no consensus on how the grounding line should react to changes in boundary conditions. A crucial finding is the strong dependency of models using a fixed grid on numerical details such as the horizontal grid size. This implies that we should be very wary about grounding line predictions from such models. Including mechanical coupling at the grounding line does not seem to change the qualitative behavior of the models. This suggests that the way the grounding line is treated in marine ice sheet models dominantly determines the grounding line dynamics. We find that models that employ a moving grid to explicitly track the grounding line do not share many of the deficiencies of the fixed grid models. We conclude that at present, no reliable model of the grounding line is available, and further model development is urgently needed.</t>
  </si>
  <si>
    <t>Univ Bristol, Sch Geog Sci, Ctr Polar Observat &amp; Modelling, Bristol BS8 1SS, Avon, England</t>
  </si>
  <si>
    <t>Univ Bristol, Sch Geog Sci, Ctr Polar Observat &amp; Modelling, Univ Rd, Bristol BS8 1SS, Avon, England.</t>
  </si>
  <si>
    <t>a.vieli@bristol.ac.uk; a.j.payne@bristol.ac.uk</t>
  </si>
  <si>
    <t>Vieli, Andreas/A-6767-2011; payne, antony/A-8916-2008</t>
  </si>
  <si>
    <t>payne, antony/0000-0001-8825-8425</t>
  </si>
  <si>
    <t>2169-9003</t>
  </si>
  <si>
    <t>2169-9011</t>
  </si>
  <si>
    <t>J GEOPHYS RES-EARTH</t>
  </si>
  <si>
    <t>J. Geophys. Res.-Earth Surf.</t>
  </si>
  <si>
    <t>F1</t>
  </si>
  <si>
    <t>F01003</t>
  </si>
  <si>
    <t>10.1029/2004JF000202</t>
  </si>
  <si>
    <t>891KK</t>
  </si>
  <si>
    <t>WOS:000226579600001</t>
  </si>
  <si>
    <t>Jiménez-Moreno, G; Rodríguez-Tovar, FJ; Pardo-Igúzquiza, E; Fauquette, S; Suc, JP; Müller, P</t>
  </si>
  <si>
    <t>High-resolution palynological analysis in late early-middle Miocene core from the Pannonian Basin, Hungary:: climatic changes, astronomical forcing and eustatic fluctuations in the Central Paratethys</t>
  </si>
  <si>
    <t>palynology; climatic quantification; cyclostratigraphy; eustatic changes; early middle Miocene; Pannonian Basin</t>
  </si>
  <si>
    <t>ANTARCTIC ICE-SHEET; MARINE-SEDIMENTS; OLIGOCENE/MIOCENE BOUNDARY; MEDITERRANEAN PLIOCENE; DINOFLAGELLATE CYSTS; ADJACENT SEAS; POLLEN DATA; CALIBRATION; FREQUENCIES; NORTHERN</t>
  </si>
  <si>
    <t>High-resolution palynological analysis in the Karpatian-Sarmatian (late early-middle Miocene) interval of the borehole Tengelic 2 (Hungary) reveals the existence of a forest organized in altitudinal belts developed in a subtropical-warm temperate humid climate, reflecting the so-called Miocene climatic optimum. Pollen changes from the late early Miocene to the middle Miocene are related to climatic variations. Values of mean annual temperature (Ta) between 18 and 20 degreesC and mean annual precipitation (Pa) between 1200 and 1400 mm have been estimated (climatic amplitude method) for the Badenian. Decreasing during Late Badenian and Sarmatian, Ta and Pa about 16 degreesC and 1100 mm, have been interpreted as a climatic cooling correlated with the Monterey cooling event and related to the development of the East Antarctic Ice Sheet (EAIS). Alternation in pollen taxa (thermophilous vs. altitudinal elements) reflects the astronomical forcing on temperature and precipitation and then on vegetation, where obliquity and eccentricity cycles dominated. Eustatic changes determine Pinus and Pinaceae and dinocyst variations. (C) 2004 Elsevier B.V. All rights reserved.</t>
  </si>
  <si>
    <t>Univ Granada, Dept Estratigrafia &amp; Paleontol, Granada 18002, Spain; Univ Lyon 1, CNRS, UMR 5125, Lab Paleoenvironm &amp; Paleobiosphere, F-69622 Villeurbanne, France; Univ Granada, Dept Geodinam, Granada 18002, Spain; Univ Montpellier 2, CNRS, UMR 5554, Inst Sci Evolut Montpellier,Equipe Paleoenvironm, F-34095 Montpellier, France; Geol Inst Hungary, Foldtani Intezet, H-1143 Budapest, Hungary</t>
  </si>
  <si>
    <t>University of Granada; Centre National de la Recherche Scientifique (CNRS); Universite Claude Bernard Lyon 1; University of Granada; Centre National de la Recherche Scientifique (CNRS); Institut de Recherche pour le Developpement (IRD); Universite de Montpellier; CNRS - Institute of Ecology &amp; Environment (INEE); Hungarian Research Network; Hungarian Academy of Sciences; HUN-REN Research Centre for Astronomy &amp; Earth Sciences; Institute for Geological &amp; Geochemical Research - HAS</t>
  </si>
  <si>
    <t>gonzaloj@ugr.es</t>
  </si>
  <si>
    <t>Fauquette, Séverine/A-2601-2009; Fauquette, Severine/M-3686-2019; Rodríguez-Tovar, Francisco/AAA-9041-2020; Pardo-Iguzquiza, Eulogio/A-6324-2013; Jiménez-Moreno, Gonzalo/K-6753-2017</t>
  </si>
  <si>
    <t>Rodríguez-Tovar, Francisco/0000-0002-1400-2715; Pardo-Iguzquiza, Eulogio/0000-0002-3865-8639; Jiménez-Moreno, Gonzalo/0000-0001-7185-8686; Fauquette, Severine/0000-0003-0516-7734</t>
  </si>
  <si>
    <t>JAN 20</t>
  </si>
  <si>
    <t>10.1016/j.palaeo.2004.10.007</t>
  </si>
  <si>
    <t>887OH</t>
  </si>
  <si>
    <t>WOS:000226314900004</t>
  </si>
  <si>
    <t>Poperechna, N; Heumann, KG</t>
  </si>
  <si>
    <t>Species-specific GC/ICP-IDMS for trimethyllead determinations in biological and environmental samples</t>
  </si>
  <si>
    <t>ANALYTICAL CHEMISTRY</t>
  </si>
  <si>
    <t>PLASMA-MASS SPECTROMETRY; SIGNIFICANT NATURAL SOURCE; ATMOSPHERIC HEAVY-METALS; METHYLATED MERCURY; LEAD SPECIATION; ICP-MS; RAINWATER; EXTRACTION; DUST</t>
  </si>
  <si>
    <t>An accurate and sensitive species-specific isotope dilution GC/ICPMS method was developed for the determination of trimethyllead (Me3Pb+) in biological and environmental samples. A trimethyllead spike was synthesized from Pb-206-enriched metallic lead by reaction of lead halide with methyllithium and subsequent formation of trimethyllead iodide. The isotopic composition of the spike solution was determined by GC/ICPMS after derivatization with tetraethylborate, and its concentration was determined by reverse isotope dilution analysis. The species-specific GC/ICP-IDMS method was validated by reference material CRM 605 (urban dust) certified for Me3Pb+. The method was also applied to determine the Me3Pb+ content in six biological reference materials (DORM 2, CRM 278, CRM 422, CRM 463, CRM 477, MURST-ISS-A2) and one sediment reference material (CRM 580) for which no certified values of this species exist. The Me3Pb+ concentrations in the biological reference materials vary in the range of 0.3-17 ng g(-1) (as Pb) except for the Antarctic Krill (MURST-ISS-A2), where the concentration was less than the detection limit of 0.09 ng g(-1), which was also found for the sediment. Up to 20% of total lead was methylated in the biological reference materials, whereas much higher methylation fractions were found for mercury. The method was also applied to seafood samples purchased from a supermarket with Me3Pb+ concentrations in the limited range of 0.3-0.7 ng g(-1). On the contrary, the portion of methylated lead in these samples varied over more than 2 orders of magnitude from 0.02 to 7.5%.</t>
  </si>
  <si>
    <t>Univ Mainz, Inst Anorgan Chem &amp; Analyt Chem, D-55099 Mainz, Germany</t>
  </si>
  <si>
    <t>Johannes Gutenberg University of Mainz</t>
  </si>
  <si>
    <t>Univ Mainz, Inst Anorgan Chem &amp; Analyt Chem, Duesbergweg 10-14, D-55099 Mainz, Germany.</t>
  </si>
  <si>
    <t>heumann@mail.uni-mainz.de</t>
  </si>
  <si>
    <t>0003-2700</t>
  </si>
  <si>
    <t>1520-6882</t>
  </si>
  <si>
    <t>ANAL CHEM</t>
  </si>
  <si>
    <t>Anal. Chem.</t>
  </si>
  <si>
    <t>JAN 15</t>
  </si>
  <si>
    <t>10.1021/ac048757m</t>
  </si>
  <si>
    <t>Chemistry, Analytical</t>
  </si>
  <si>
    <t>887PP</t>
  </si>
  <si>
    <t>WOS:000226318300019</t>
  </si>
  <si>
    <t>Ikeda-Fukazawa, T; Fukumizu, K; Kawamura, K; Aoki, S; Nakazawa, T; Hondoh, T</t>
  </si>
  <si>
    <t>Effects of molecular diffusion on trapped gas composition in polar ice cores</t>
  </si>
  <si>
    <t>ice cores; gas analysis; gas fractionation; molecular diffusion; paleo-atmosphere</t>
  </si>
  <si>
    <t>ANTARCTIC ICE; ATMOSPHERIC CO2; GLACIAL CYCLES; AIR; RECORD; CLIMATE; CRYSTAL; METHANE; FIRN; O-2</t>
  </si>
  <si>
    <t>Enrichment of nitrogen gas has been found from gas analyses of ice cores retrieved from deep parts of Antarctica. Neither climate change nor gas loss through ice cracks explain the enrichment. In order to investigate the mechanism of the gas composition change, we develop a model of gas loss caused by molecular diffusion from clathrate hydrates toward the ice-core surface through ice crystal. We apply the model to interpret the data on the gas composition change in the Dome Fuji ice core during the storage for 3 years at 248 K. The mass transfer coefficients determined using the model are 1.4 X 10(-9) and 4.3 x 10(-9) m . s(-1) at 248 K for N-2 and O-2, respectively. The difference in the coefficient between N-2 and O-2 causes the change in the O-2/N-2 ratio of the trapped gas in the ice core during the storage. During the storage period of 1000 days at 248 K, the O-2/N-2 ratio changes from -9.9parts per thousand to -20.5parts per thousand. The effect of the gas loss decreases as the storage temperature decreases. The results have important implications for the accurate reconstructions of the paleo-atmosphere from polar ice cores. (C) 2004 Elsevier B.V. All rights reserved.</t>
  </si>
  <si>
    <t>Japan Sci &amp; Technol Agcy, PRESTO, Inst Stat Math, Tokyo 1068569, Japan; Inst Stat Math, Tokyo 1068569, Japan; Tohoku Univ, Ctr Atmospher &amp; Ocean Studies, Sendai, Miyagi 9808578, Japan; Hokkaido Univ, Inst Low Temp Sci, Sapporo, Hokkaido 0600819, Japan</t>
  </si>
  <si>
    <t>Japan Science &amp; Technology Agency (JST); Research Organization of Information &amp; Systems (ROIS); Institute of Statistical Mathematics (ISM) - Japan; Research Organization of Information &amp; Systems (ROIS); Institute of Statistical Mathematics (ISM) - Japan; Tohoku University; Hokkaido University</t>
  </si>
  <si>
    <t>Japan Sci &amp; Technol Agcy, PRESTO, Inst Stat Math, Tokyo 1068569, Japan.</t>
  </si>
  <si>
    <t>fukazawa@ism.ac.jp</t>
  </si>
  <si>
    <t>; Kawamura, Kenji/C-7660-2011; HONDOH, Takeo/E-7551-2011</t>
  </si>
  <si>
    <t>Ikeda-Fukazawa, Tomoko/0000-0002-5265-4706; Fukumizu, Kenji/0000-0002-3488-2625; Kawamura, Kenji/0000-0003-1163-700X; HONDOH, Takeo/0000-0003-4129-022X</t>
  </si>
  <si>
    <t>10.1016/j.epsl.2004.11.011</t>
  </si>
  <si>
    <t>891HF</t>
  </si>
  <si>
    <t>WOS:000226571200002</t>
  </si>
  <si>
    <t>Dickhut, RM; Cincinelli, A; Cochran, M; Ducklow, HW</t>
  </si>
  <si>
    <t>Atmospheric concentrations and air-water flux of organochlorine pesticides along the western Antarctic Peninsula</t>
  </si>
  <si>
    <t>PERSISTENT ORGANIC POLLUTANTS; CHLORINATED PESTICIDES; GAS-EXCHANGE; PCBS; TRANSPORT; ISLAND; HEXACHLOROCYCLOHEXANES; RESIDUES; IMPACT; OCEAN</t>
  </si>
  <si>
    <t>Air, seawater, sea ice, and snow were collected during the austral winter (September- October 2001) and summer (January-February 2002) along the Western Antarctic Peninsula. Hexachlorobenzene (HCB) &gt; heptachlor &gt; alpha and gamma-hexachlorocyclohexane (HCH) and heptachlor epoxide, were the most frequently detected organochlorine pesticides in air. HCB and HCH levels declined over the past 20 years, with a half-life of 3years for SigmaHCH in Antarctic air. However, heptachlor epoxide levels have not declined in Antarctic air over the past decade, possibly due to continued use of heptachlor in the southern hemisphere. Peak heptachlor concentrations in air were measured coincident with air masses moving into the region from lower latitudes. Levels of lindane were 1.2-200 times higher in annual sea ice and snow compared to alpha-HCH, likely due to greater atmospheric input of gamma-HCH. The ratio of alpha/gamma-HCH inAntarctic air,sea ice and snowwas &lt;1, illustrative of a predominance of influx of lindane versus technical HICH to the regional environment. However, alpha/gamma-HCH in seawater was &gt;1, likely due to more rapid microbial degradation of gamma- versus alpha-HCH. Water/air fugacity ratios for HCHs demonstrate continued atmospheric influx of HCHs to coastal Antarctic seas, particularly during late summer.</t>
  </si>
  <si>
    <t>Coll William &amp; Mary, Sch Marine Sci, Gloucester Point, VA 23062 USA; Univ Florence, Dept Chem, Florence, Italy</t>
  </si>
  <si>
    <t>William &amp; Mary; University of Florence</t>
  </si>
  <si>
    <t>Coll William &amp; Mary, Sch Marine Sci, Gloucester Point, Gloucester Point, VA 23062 USA.</t>
  </si>
  <si>
    <t>rdickhut@vims.edu</t>
  </si>
  <si>
    <t>Cincinelli, Alessandra/A-8468-2011</t>
  </si>
  <si>
    <t>Cincinelli, Alessandra/0000-0002-6977-4595</t>
  </si>
  <si>
    <t>10.1021/es048648p</t>
  </si>
  <si>
    <t>889KG</t>
  </si>
  <si>
    <t>WOS:000226441300018</t>
  </si>
  <si>
    <t>Pierrehumbert, RT</t>
  </si>
  <si>
    <t>Climate dynamics of a hard snowball Earth</t>
  </si>
  <si>
    <t>CARBON-DIOXIDE CLOUDS; CAP CARBONATES; LOW-LATITUDE; SEA-ICE; ISOTOPIC COMPOSITION; MARTIAN ATMOSPHERE; GLOBAL GLACIATION; ANTARCTIC PLATEAU; BAROCLINIC WAVE; HIGH-OBLIQUITY</t>
  </si>
  <si>
    <t>[1] The problem of deglaciating a globally ice-covered (hard snowball'') Earth is examined using a series of general circulation model simulations. The aim is to determine the amount of CO2 that must be accumulated in the atmosphere in order to trigger deglaciation. Prior treatments of this problem have been limited to energy balance models, which are incapable of treating certain crucial physical processes that turn out to strongly affect the conditions under which deglaciation can occur. CO2 concentrations up to .2 bars are considered in the general circulation model simulations, and even at such high CO2 content the model radiation code is found to perform well in comparison with codes explicitly designed for high CO2. In contrast to prevailing expectations, the hard snowball Earth is found to be nearly 30 K short of deglaciation, even at .2 bars. The very cold climates arise from a combination of the extreme seasonal and diurnal cycle, lapse rate effects, snow cover, and weak cloud effects. Several aspects of the atmospheric dynamics are examined in detail. The simulations indicate that the standard scenario, wherein snowball termination occurs after a few tenths of a bar of CO2 has built up following cessation of weathering, is problematic. However, the climate was found to be sensitive to details of a number of parameterized physical processes, notably clouds and heat transfer through the stable boundary layer. It is not out of the question that other parameterization suites might permit deglaciation. The results should not be construed as meaning that the hard snowball state could not have occurred, but only that deglaciation requires the operation of as-yet undiscovered processes that would enhance the climate sensitivity. A brief survey of some of the possibilities is provided.</t>
  </si>
  <si>
    <t>Pierrehumbert, RT (corresponding author), Univ Chicago, Dept Geophys Sci, 5734 S Ellis Ave, Chicago, IL 60637 USA.</t>
  </si>
  <si>
    <t>rtp1@geosci.uchicago.edu</t>
  </si>
  <si>
    <t>Pierrehumbert, Raymond/0000-0002-5887-1197</t>
  </si>
  <si>
    <t>D1</t>
  </si>
  <si>
    <t>D01111</t>
  </si>
  <si>
    <t>10.1029/2004JD005162</t>
  </si>
  <si>
    <t>890YR</t>
  </si>
  <si>
    <t>WOS:000226548200005</t>
  </si>
  <si>
    <t>Rijkenberg, MJA; Fischer, AC; Kroon, JJ; Gerringa, LJA; Timmermans, KR; Wolterbeek, HT; de Baar, HJW</t>
  </si>
  <si>
    <t>The influence of UV irradiation on the photoreduction of iron in the Southern Ocean</t>
  </si>
  <si>
    <t>iron; photoreduction; UV; Southern Ocean; EisenEx</t>
  </si>
  <si>
    <t>LIGHT-INDUCED DISSOLUTION; NATURAL ORGANIC-LIGANDS; ULTRAVIOLET-RADIATION; COLLOIDAL IRON; HYDROGEN-PEROXIDE; ANTARCTIC WATERS; OZONE DEPLETION; ATLANTIC-OCEAN; PHOTOCHEMICAL PRODUCTION; EQUATORIAL PACIFIC</t>
  </si>
  <si>
    <t>An iron enrichment experiment, EisenEx, was performed in the Atlantic sector of the Southern Ocean during the Antarctic spring of 2000. Deck incubations of open ocean water were performed to investigate the influence of ultraviolet B (UVB: 280-315 nm) and ultraviolet A (UVA: 315-400 nm) on the speciation of iron in seawater, using an addition of the radioisotopes Fe-59(III) (1.25 nM) or Fe-55(III) (0.5 nM). Seawater was sampled inside and outside the iron-enriched region. The radioisotopic Fe(II) concentration was monitored during daylight under three different light conditions: the full solar spectrum (total), total minus UVB, and total minus UVB+UVA. A distinct diel cycle was observed with a clear distinction between the three different light regimes. A clear linear relationship was found for the concentration of radioisotopic Fe(II) versus irradiance. UVB produced most of the Fe(II) followed by UVA and visible light (VIS: 400-700 nm), respectively. UVB produced 4.89 and 0.69 pM m(2) W-1 radioisotopic Fe(II) followed by UVA with 0.33 and 0.10 pM M-2 W-1 radioisotopic Fe(II) and VIS with 0.04 and 0.03 pM m(2) W-1 radioisotopic Fe(II). (C) 2004 Elsevier B.V All rights reserved.</t>
  </si>
  <si>
    <t>Univ Groningen, Dept Marine Biol, NL-9750 AA Haren, Netherlands; Netherlands Inst Sea Res, Dept Marine Chem &amp; Geol, NL-1790 AB Den Burg, Netherlands; Delft Univ Technol, Interfac Reactor Inst, NL-2629 JB Delft, Netherlands</t>
  </si>
  <si>
    <t>University of Groningen; Utrecht University; Royal Netherlands Institute for Sea Research (NIOZ); Delft University of Technology</t>
  </si>
  <si>
    <t>Rijkenberg, MJA (corresponding author), Univ Groningen, Dept Marine Biol, POB 14, NL-9750 AA Haren, Netherlands.</t>
  </si>
  <si>
    <t>rijken@nioz.nl</t>
  </si>
  <si>
    <t>Rijkenberg, Micha JA/C-3245-2012; Fischer, Astrid/AAB-1687-2020</t>
  </si>
  <si>
    <t>Fischer, Astrid/0000-0002-7273-325X; timmermans, klaas/0000-0002-3214-4354</t>
  </si>
  <si>
    <t>10.1016/j.marchem.2004.03.021</t>
  </si>
  <si>
    <t>892NG</t>
  </si>
  <si>
    <t>WOS:000226656700003</t>
  </si>
  <si>
    <t>McCave, IN; Kiefer, T; Thornalley, DJR; Elderfield, H</t>
  </si>
  <si>
    <t>Deep flow in the Madagascar-Mascarene Basin over the last 150 000 years</t>
  </si>
  <si>
    <t>PHILOSOPHICAL TRANSACTIONS OF THE ROYAL SOCIETY A-MATHEMATICAL PHYSICAL AND ENGINEERING SCIENCES</t>
  </si>
  <si>
    <t>deep western boundary current; palaeoflow; sortable silt; oxygen isotopes; carbon isotopes; benthic</t>
  </si>
  <si>
    <t>ANTARCTIC BOTTOM WATER; SEA-LEVEL; AMIRANTE PASSAGE; SOUTHERN-OCEAN; INDIAN-OCEAN; INTERMEDIATE WATER; SORTABLE SILT; CURRENT SPEED; CIRCULATION; TEMPERATURE</t>
  </si>
  <si>
    <t>The SW Indian Ocean contains at least four layers of water masses with different sources: deep Antarctic (Lower Circumpolar Deep Water) flow to the north, midwater North Indian Deep Water flow to the south and Upper Circumpolar Deep Water to the north, meridional convergence of intermediate waters at 500-1500 m, and the shallow South Equatorial Current flowing west. Sedimentation rates in the area are rather low, being less than 1 cm ka(-1) on Madagascar Ridge, but up to 4 cm ka(-1) at Amirante Passage. Bottom flow through the Madagascar-Mascarene Basin into Amirante Passage varies slightly on glacial-interglacial time-scales, with faster flow in the warm periods of the last interglacial and minima in cold periods. Far more important are the particularly high flow rates, inferred from silt grain size, which occur at warm-to-cold transitions rather than extrema. This suggests the cause is changing density gradient driving a transiently fast flow. Corroboration is found in the glacial-interglacial range of benthic delta(18)O which is ca.2parts per thousand, suggesting water close to freezing and at least 1.2 more saline and thus more dense glacial bottom waters than present. Significant density steps are inferred in isotope stage 6, the 5e-5d, and 5a-4 transitions. Oxygen isotope data suggest little change by mixing in glacial bottom water on their northward path. Benthic carbon isotope ratios at Amirante Passage differ from glacial Southern Ocean values, due possibly to absence of a, local productivity effect present in the Southern Ocean.</t>
  </si>
  <si>
    <t>Univ Cambridge, Dept Earth Sci, Cambridge CB2 3EQ, England</t>
  </si>
  <si>
    <t>mccave@esc.cam.ac.uk</t>
  </si>
  <si>
    <t>McCave, Nick N/G-7323-2016; McCave, I. Nick/O-3992-2018; Thornalley, David JR/B-2451-2010</t>
  </si>
  <si>
    <t>McCave, Nick N/0000-0002-4702-5489; McCave, I. Nick/0000-0002-4702-5489;</t>
  </si>
  <si>
    <t>1364-503X</t>
  </si>
  <si>
    <t>1471-2962</t>
  </si>
  <si>
    <t>PHILOS T R SOC A</t>
  </si>
  <si>
    <t>Philos. Trans. R. Soc. A-Math. Phys. Eng. Sci.</t>
  </si>
  <si>
    <t>10.1098/rsta.2004.1480</t>
  </si>
  <si>
    <t>882WD</t>
  </si>
  <si>
    <t>WOS:000225970100010</t>
  </si>
  <si>
    <t>Krolikowska-Ciaglo, S; Hauff, F; Hoernle, K</t>
  </si>
  <si>
    <t>Sr-Nd isotope systematics in 14-28 Ma low-temperature altered mid-ocean ridge basalt from the Australian Antarctic Discordance, Ocean Drilling Program Leg 187</t>
  </si>
  <si>
    <t>low-temperature alteration; basalts composition; oceanic crust; Rb-Sr and Sm-Nd isotope systems; geochemistry : radiogenic isotope geochemistry; geochemistry : major and trace element geochemistry; geochemistry : alteration and weathering processes</t>
  </si>
  <si>
    <t>BENEATH GRAN-CANARIA; CRUST; MANTLE; GEOCHEMISTRY; SITE-1149; STRONTIUM; HOLE-504B; BOUNDARY; SITE-801; LEG-185</t>
  </si>
  <si>
    <t>[1] The effects of low-temperature alteration on the Rb-Sr and Sm-Nd isotope systems were investigated in 14 - 28 Ma mid-ocean ridge basalts recovered during Ocean Drilling Program (ODP) Leg 187 from the Australian Antarctic Discordance through comparison of pristine glass and associated variably altered basalts. Both Nd and Sm are immobile during low-temperature alteration, and Nd-143/Nd-144 displays mantle values even in heavily altered samples. In contrast, Sr-87/Sr-86 and Rb concentrations increase during seawater-rock interaction, which is especially apparent in single samples with macroscopically zoned alteration domains. The increase in Sr-87/Sr-86 roughly correlates with the visible degree of alteration, indicating a higher seawater/rock ratio in the more altered samples. Sr concentrations, however, do not systematically increase with increasing degree of alteration, most likely reflecting exchange of Sr in smectite interlayer sites. The degree of alteration in the uppermost oceanic crust of the Australian Antarctic Discordance is independent of crustal age. A comparison with literature data for young and old altered oceanic crust suggests that most low-temperature alteration occurs within a few million years after formation of the oceanic crust, probably reflecting greater fluid flux through the crust during its early history as a result of higher permeability and increased fluid circulation near the ridge.</t>
  </si>
  <si>
    <t>Univ Kiel, Leibniz Inst Meereswissensch, IFR GEOMAR, D-24148 Kiel, Germany</t>
  </si>
  <si>
    <t>University of Kiel; Helmholtz Association; GEOMAR Helmholtz Center for Ocean Research Kiel</t>
  </si>
  <si>
    <t>Adam Mickiewicz Univ, Inst Geol, Ul Makow Polnych 16, PL-61606 Poznan, Poland.</t>
  </si>
  <si>
    <t>skrolikowska@ifm-geomar.de; fhauff@ifm-geomar.de; khoernle@ifm-geomar.de</t>
  </si>
  <si>
    <t>Hauff, Folkmar/AAG-3630-2021; Hoernle, Kaj/AAF-9500-2021</t>
  </si>
  <si>
    <t>Hauff, Folkmar/0000-0001-9503-9714;</t>
  </si>
  <si>
    <t>JAN 14</t>
  </si>
  <si>
    <t>Q01001</t>
  </si>
  <si>
    <t>10.1029/2004GC000802</t>
  </si>
  <si>
    <t>890YB</t>
  </si>
  <si>
    <t>WOS:000226546400002</t>
  </si>
  <si>
    <t>Croxall, JP; Silk, JRD; Phillips, RA; Afanasyev, V; Briggs, DR</t>
  </si>
  <si>
    <t>Global circumnavigations: Tracking year-round ranges of nonbreeding albatrosses</t>
  </si>
  <si>
    <t>AUSTRALIA; OCEAN</t>
  </si>
  <si>
    <t>Although albatrosses are paradigms of oceanic specialization, their foraging areas and migration routes when not breeding remain essentially unknown. Our continuous remote tracking of 22 adult gray-headed albatrosses for over 30 bird-years reveals three distinct strategies: (i) Stay in breeding home range; (ii) make return migrations to a specific area of the southwest Indian Ocean; and (iii) make one or more global circumnavigations (the fastest in just 46 days). The consistencies in patterns, routes, and timings offer the first hope of identifying areas of critical habitat for nonbreeding albatrosses, wherein appropriate management of longline fisheries might alleviate the plight of the world's most threatened family of birds.</t>
  </si>
  <si>
    <t>Croxall, JP (corresponding author), British Antarctic Survey, NERC, High Cross,Madingley Rd, Cambridge CB3 0ET, England.</t>
  </si>
  <si>
    <t>10.1126/science.1106042</t>
  </si>
  <si>
    <t>888GJ</t>
  </si>
  <si>
    <t>WOS:000226361900041</t>
  </si>
  <si>
    <t>Vallelonga, P; Gabrielli, P; Rosman, KJR; Barbante, C; Boutron, CF</t>
  </si>
  <si>
    <t>A 220 kyr record of Pb isotopes at Dome C Antarctica from analyses of the EPICA ice core</t>
  </si>
  <si>
    <t>LEAD ISOTOPES; POLAR ICE; SNOW; BASALTS</t>
  </si>
  <si>
    <t>Pb isotopic compositions and Pb and Ba concentrations are reported in EPICA Dome C ice core samples dating to 220 kyr BP, indicating that Pb isotopic compositions in Antarctic ice vary with changing climate. Pb-206/Pb-207 ratios decrease during glacial periods, with the lowest values occurring during colder climatic periods ( stages 2, 4 and 6) and the Holocene. Low Pb concentrations (&lt; 1 pg/g) were found during the Holocene and the last interglacial ( climate stage 5.5) while higher Pb concentrations (&gt; 10 pg/g) were found during cold climatic periods. Ba, a proxy for mineral dust, was used to determine that dust usually accounts for similar to 70% of Pb in Dome C ice, while the remaining similar to 30% was attributed to volcanic emissions. Pb isotopic compositions at Dome C differ from those reported in pre-industrial ice from other Antarctic locations, due to greater proportions of dust Pb at Dome C.</t>
  </si>
  <si>
    <t>Curtin Univ Technol, Dept Appl Phys, Perth, WA 6845, Australia; Univ Grenoble 1, CNRS, UMR 5183, Lab Glaciol &amp; Geophys Environm, F-38402 St Martin Dheres, France; Univ Venice, Dept Environm Sci, I-30123 Venice, Italy; CNR, Inst Dynam Environm Proc, Venice, Italy; Univ Grenoble 1, Unite Format &amp; Rech Phys, Grenoble, France; Univ Grenoble 1, Observ Sci Univers, Grenoble, France</t>
  </si>
  <si>
    <t>Curtin University; Centre National de la Recherche Scientifique (CNRS); Communaute Universite Grenoble Alpes; Universite Grenoble Alpes (UGA); Universita Ca Foscari Venezia; Consiglio Nazionale delle Ricerche (CNR); Istituto per la Dinamica dei Processi Ambientali (IDPA-CNR); Communaute Universite Grenoble Alpes; Universite Grenoble Alpes (UGA); Communaute Universite Grenoble Alpes; Universite Grenoble Alpes (UGA)</t>
  </si>
  <si>
    <t>k.rosman@curtin.edu.au</t>
  </si>
  <si>
    <t>Barbante, Carlo/B-3195-2011; Vallelonga, Paul/I-9650-2016</t>
  </si>
  <si>
    <t>Barbante, Carlo/0000-0003-4177-2288; Vallelonga, Paul/0000-0003-1055-7235</t>
  </si>
  <si>
    <t>JAN 13</t>
  </si>
  <si>
    <t>L01706</t>
  </si>
  <si>
    <t>10.1029/2004GL021449</t>
  </si>
  <si>
    <t>890YG</t>
  </si>
  <si>
    <t>WOS:000226546900005</t>
  </si>
  <si>
    <t>Coxall, HK; Wilson, PA; Pälike, H; Lear, CH; Backman, J</t>
  </si>
  <si>
    <t>Rapid stepwise onset of Antarctic glaciation and deeper calcite compensation in the Pacific Ocean</t>
  </si>
  <si>
    <t>CENOZOIC GLACIATION; CHAOTIC DIFFUSION; OLIGOCENE; EVOLUTION; RECORDS; MODEL; MG/CA</t>
  </si>
  <si>
    <t>The ocean depth at which the rate of calcium carbonate input from surface waters equals the rate of dissolution is termed the calcite compensation depth. At present, this depth is,4,500 m, with some variation between and within ocean basins. The calcite compensation depth is linked to ocean acidity, which is in turn linked to atmospheric carbon dioxide concentrations and hence global climate(1). Geological records of changes in the calcite compensation depth show a prominent deepening of more than 1 km near the Eocene/Oligocene boundary (similar to34 million years ago)(2) when significant permanent ice sheets first appeared on Antarctica(3-6), but the relationship between these two events is poorly understood. Here we present ocean sediment records of calcium carbonate content as well as carbon and oxygen isotopic compositions from the tropical Pacific Ocean that cover the Eocene/Oligocene boundary. We find that the deepening of the calcite compensation depth was more rapid than previously documented and occurred in two jumps of about 40,000 years each, synchronous with the stepwise onset of Antarctic ice-sheet growth. The glaciation was initiated, after climatic preconditioning(7), by an interval when the Earth's orbit of the Sun favoured cool summers. The changes in oxygen-isotope composition across the Eocene/Oligocene boundary are too large to be explained by Antarctic ice-sheet growth alone and must therefore also indicate contemporaneous global cooling and/or Northern Hemisphere glaciation.</t>
  </si>
  <si>
    <t>Southampton Oceanog Ctr, Sch Ocean &amp; Earth Sci, Southampton SO14 3ZH, Hants, England; Univ Stockholm, S-10691 Stockholm, Sweden; Rutgers State Univ, Inst Marine &amp; Coastal Sci, New Brunswick, NJ 08901 USA</t>
  </si>
  <si>
    <t>University of Southampton; NERC National Oceanography Centre; Stockholm University; Rutgers University System; Rutgers University New Brunswick</t>
  </si>
  <si>
    <t>Southampton Oceanog Ctr, Sch Ocean &amp; Earth Sci, European Way, Southampton SO14 3ZH, Hants, England.</t>
  </si>
  <si>
    <t>paw1@soc.soton.ac.uk</t>
  </si>
  <si>
    <t>Pälike, Heiko/A-6560-2008; Lear, Caroline H/D-2582-2009</t>
  </si>
  <si>
    <t>Pälike, Heiko/0000-0003-3386-0923; Lear, Caroline/0000-0002-7533-4430; Wilson, Paul/0000-0001-6425-8906; Coxall, Helen/0000-0002-2843-2898</t>
  </si>
  <si>
    <t>1476-4687</t>
  </si>
  <si>
    <t>JAN 6</t>
  </si>
  <si>
    <t>10.1038/nature03135</t>
  </si>
  <si>
    <t>884WJ</t>
  </si>
  <si>
    <t>WOS:000226117100033</t>
  </si>
  <si>
    <t>Cantrill, DJ; Poole, I</t>
  </si>
  <si>
    <t>Taxonomic turnover and abundance in Cretaceous to Tertiary wood floras of Antarctica: Implications for changes in forest ecology</t>
  </si>
  <si>
    <t>Antarctica; cretaceous; tertiary; fossil wood; angiosperm; conifer</t>
  </si>
  <si>
    <t>GONDWANAN POLAR FORESTS; BACK-ARC BASIN; ALEXANDER-ISLAND; LIVINGSTON ISLAND; FOSSIL WOOD; NOTHOFAGUS NOTHOFAGACEAE; SUBGENUS BRASSOSPORA; BYERS PENINSULA; WILLIAMS POINT; 1ST RECORD</t>
  </si>
  <si>
    <t>Based on the temporal distribution, abundance, and taxonomic composition of wood floras, four phases of vegetation development are recognized through the Cretaceous to Early Tertiary of the Antarctic Peninsula: (1) Aptian to Albian communities dominated by podocarpaceous, araucarian, and minor taxodiaceous/cupressaceous conifers with rare extinct gymnosperms (Sahnioxylon). (2) Progressive replacement of these communities in ?Cenomanian to Santonian times by angiosperms, most without modem analogues. (3) Increasing dominance of angiosperms becoming important both in terms of diversity and abundance towards the mid-Late Cretaceous. (4) Modernization of the flora during the Campanian to Maastrichtian with the extinction of earlier forms, appearance of the Nothofagaceae and diversification of associated elements. These patterns broadly follow trends seen in the leaf and palynological record but with some important differences. During the Cretaceous, conifer composition undergoes a change whereby Phyllocladoxylon-type woods increase relative to the older Podocarpoxylon forms. During the Paleocene to Eocene period, a marked extinction in wood types occurs associated with an increase in the abundance of nothofagaceous wood. Detailed examination of wood abundance and distributions from sections within Maastrichtian and Paleocene formations points to strong environmental control on taxonomic compositions. Similar differences are encountered when comparing coeval floras from different geographic regions and palaeoenvironments. (C) 2004 Elsevier B.V. All rights reserved.</t>
  </si>
  <si>
    <t>Swedish Museum Nat Hist, Dept Palaeobot, S-10405 Stockholm, Sweden; Univ Oslo, Museum Paleontol, N-0318 Oslo, Norway; Univ Utrecht Branch, Wood Anat Sect, Natl Herbarium Netherlands, NL-3585 CS Utrecht, Netherlands</t>
  </si>
  <si>
    <t>Swedish Museum of Natural History; University of Oslo; Utrecht University</t>
  </si>
  <si>
    <t>Swedish Museum Nat Hist, Dept Palaeobot, Box 50007, S-10405 Stockholm, Sweden.</t>
  </si>
  <si>
    <t>david.cantrill@nrm.se</t>
  </si>
  <si>
    <t>10.1016/j.palaeo.2004.09.004</t>
  </si>
  <si>
    <t>887OG</t>
  </si>
  <si>
    <t>WOS:000226314800002</t>
  </si>
  <si>
    <t>White, NJ; Church, JA; Gregory, JM</t>
  </si>
  <si>
    <t>Coastal and global averaged sea level rise for 1950 to 2000</t>
  </si>
  <si>
    <t>[ 1] We compare estimates of coastal and global averaged sea level for 1950 to 2000. During the 1990s and around 1970, we find coastal sea level is rising faster than the global average but that it rises slower than the global average during the late 1970s and late 1980s. The differences are largely a result of sampling the time- varying geographical distribution of sea level rise along a coastline which is more convoluted in some regions than others. More rapid coastal rise corresponds to La Nina - like conditions in the tropical Pacific Ocean and a slower rate corresponds to El Nino - like conditions. Over the 51 year period, there is no significant difference in the rates of coastal and global averaged sea level rise, as found in climate model simulations of the 20th century. The best estimate of both global average and coastal sea level rise remains 1.8 +/- 0.3 mm yr(-1), as found in earlier studies.</t>
  </si>
  <si>
    <t>CSIRO Marine Res, Hobart, Tas 7001, Australia; Antarctic Climate &amp; Ecosyst Cooperat Res Ctr, Hobart, Tas, Australia; Univ Reading, Dept Meteorol, Ctr Global Atmospher Modelling, Reading RG6 6BB, Berks, England; Met Off, Hadley Ctr, Exeter, Devon, England</t>
  </si>
  <si>
    <t>Commonwealth Scientific &amp; Industrial Research Organisation (CSIRO); Antarctic Climate &amp; Ecosystems Cooperative Research Centre (ACE CRC); University of Reading; Met Office - UK; UK Research &amp; Innovation (UKRI); Natural Environment Research Council (NERC); NERC National Centre for Atmospheric Science; NERC National Centre for Earth Observation; Met Office - UK; Hadley Centre</t>
  </si>
  <si>
    <t>White, NJ (corresponding author), CSIRO Marine Res, GPO Box 1538, Hobart, Tas 7001, Australia.</t>
  </si>
  <si>
    <t>neil.white@csiro.au</t>
  </si>
  <si>
    <t>White, Neil/B-2077-2013; Gregory, Jonathan/J-2939-2016; Jiao, Liqing/A-8821-2011; Church, John A/A-1541-2012</t>
  </si>
  <si>
    <t>Gregory, Jonathan/0000-0003-1296-8644; Church, John A/0000-0002-7037-8194</t>
  </si>
  <si>
    <t>JAN 5</t>
  </si>
  <si>
    <t>L01601</t>
  </si>
  <si>
    <t>10.1029/2004GL021391</t>
  </si>
  <si>
    <t>890KQ</t>
  </si>
  <si>
    <t>WOS:000226510500003</t>
  </si>
  <si>
    <t>Li, B; Bergmann, J; Lassen, S; Leonhard, P; Prange, A</t>
  </si>
  <si>
    <t>Distribution of elements binding to molecules with different molecular weights in aqueous extract of Antarctic krill by size-exclusion chromatography coupled with inductively coupled plasma mass spectrometry</t>
  </si>
  <si>
    <t>JOURNAL OF CHROMATOGRAPHY B-ANALYTICAL TECHNOLOGIES IN THE BIOMEDICAL AND LIFE SCIENCES</t>
  </si>
  <si>
    <t>fractionation; elements; Antarctic krill; size-exclusion chromatography; inductively coupled plasma-mass spectrometry</t>
  </si>
  <si>
    <t>ATOMIC-ABSORPTION-SPECTROMETRY; HPLC-ICP-MS; SOLUBLE SELENIUM-COMPOUNDS; ARSENIC SPECIATION; HYPHENATED TECHNIQUES; MICROWAVE DIGESTION; BIOLOGICAL SAMPLES; SELENOAMINO ACIDS; ONLINE DETECTION; FISH</t>
  </si>
  <si>
    <t>The distribution of silver, arsenic, cadmium, cobalt, chromium, copper, iron, manganese, nickel, lead, selenium and zinc binding to species with different molecular weight in aqueous extract of krill was studied by on-line size-exclusion chromatography(SEC)/inductively coupled plasma mass spectrometry (ICP-MS). The extract was fractionated in three fractions with different molecular weight (MW) ranges (&gt;20.000 relative molecular mass (rel. mol. mass), 2000-20,000 rel. mol. mass and &lt;2000 rel. mol. mass), which were further analyzed by SEC with columns having different optimum fractionation ranges in order to obtain more detailed information about the MW distribution of the elements. Various distribution profiles for the target elements among different MW ranges were observed. The results obtained indicated that manganese. zinc, silver, cadmium and lead species were mostly distributed in the higher MW range (&gt;20.000 rel. mol. mass). In the case of chromium, iron, cobalt, arsenic and selenium, most of them bind to species with lower MW (&lt;2000 rel. mol. mass). Only copper and nickel species was predominantly present in middle MW range (2000-20,000 rel. mol. mass). Further speciation of arsenic compounds in the small MW fraction was carried out with anion exchange chromatography (AEC) coupled with ICP-MS. The results showed that the dominant arsenic species in this fraction is As(III) (63% of extractable arsenic), while As(V) (13%) and two unknown arsenic species (19%, and 5%, respectively) are present in lower amounts. (C) 2004 Elsevier B.V. All rights reserved.</t>
  </si>
  <si>
    <t>GKSS Forschungszentrum Geesthacht GmbH, Inst Coastal Res, D-21502 Geesthacht, Germany</t>
  </si>
  <si>
    <t>Helmholtz Association; Helmholtz-Zentrum Hereon</t>
  </si>
  <si>
    <t>Prange, A (corresponding author), GKSS Forschungszentrum Geesthacht GmbH, Inst Coastal Res, Max Planck Str, D-21502 Geesthacht, Germany.</t>
  </si>
  <si>
    <t>andreas.prange@gkss.de</t>
  </si>
  <si>
    <t>Bergmann, Jan/I-4719-2018</t>
  </si>
  <si>
    <t>Bergmann, Jan/0000-0003-3566-1979</t>
  </si>
  <si>
    <t>1570-0232</t>
  </si>
  <si>
    <t>J CHROMATOGR B</t>
  </si>
  <si>
    <t>J. Chromatogr. B</t>
  </si>
  <si>
    <t>10.1016/j.jchromb.2004.10.008</t>
  </si>
  <si>
    <t>886ZP</t>
  </si>
  <si>
    <t>WOS:000226272100011</t>
  </si>
  <si>
    <t>Bassant, P; Van Buchem, FSP; Strasser, A; Görür, N</t>
  </si>
  <si>
    <t>The stratigraphic architecture and evolution of the Burdigalian carbonate -: siliciclastic sedimentary systems of the Mut Basin, Turkey</t>
  </si>
  <si>
    <t>Mut Basin; sea level; carbonate platform</t>
  </si>
  <si>
    <t>TETHYS BELT; SOUTHERN TURKEY; ATLANTIC-OCEAN; ADANA BASIN; TERTIARY; PAMIRS</t>
  </si>
  <si>
    <t>This study describes the coeval development of the depositional environments in three areas across the Mut Basin (Southern Turkey) throughout the Late Burdigalian (early Miocene). Antecedent topography and rapid high-amplitude sea-level change are the main controlling factors on stratigraphic architecture and sediment type. Stratigraphic evidence is observed for two high-amplitude (100-150 m) sea-level cycles in the Late Burdigalian to Langhian. These cycles are interpreted to be eustatic in nature and driven by the long-term 400-Ka orbital eccentricity-cycle-changing ice volumes in the nascent Antarctic icecap. We propose that the Mut Basin is an exemplary case study area for guiding lithostratigraphic predictions in early Miocene shallow-marine carbonate and mixed environments elsewhere in the world. The Late Burdigalian in the Mut Basin was a time of relative tectonic quiescence, during which a complex relict basin topography was flooded by a rapid marine transgression. This area was chosen for study because it presents extraordinary large-scale 3D outcrops and a large diversity of depositional environments throughout the basin. Three study transects were constructed by combining stratal geometries and facies observations into a high-resolution sequence stratigraphic framework. 3346 m of section were logged, 400 thin sections were studied, and 145 biostratigraphic samples were analysed for nannoplankton dates (Bassant, P., 1999. The high-resolution stratigraphic architecture and evolution of the Burdigalian carbonate-siliciclastic sedimentary systems of the Mut Basin, Turkey. PhD Thesis. GeoFocus 3. University of Fribourg, 277 p.). The first transect (Alahan) is on the northwestern basin margin. Here, the siliciclastic input is high due to the presence of a river system. The siliciclastic depocentre migrates landwards during transgressions, creating an ecological window allowing carbonates to develop in the distal part of the delta. Carbonate production shuts down during the regression when siliciclastics return. The second transect (Pirinc) is also situated on the northern basin margin 12 km to the east of the Alahan section. It shows a complete platform-to-basin transition. An isolated carbonate platform complex develops during the initial flooding, which is drowned during a time of rapid sea-level rise and environmental stress, associated with prograding siliciclastics. The shelf margin then retrogrades forming large-scale clinoform geometries and progrades before a major sea-level fall provokes slumping collapse, followed by rebuilding of the shelf margin as sea level rises again. The third transect (Silifke) has a steep asymmetric Pre-Miocene valley-topography, forming a narrow strait, linking the Mut Basin to the Mediterranean. Strong tidal currents are generated in this strait area. Siliciclastic input is low and localised. Eighty metres of cross-bedded bioclastic sands are deposited in a tidal regime at the base. Subsequently, carbonate platforms backstep against the shallow-dipping northern flank, while platforms only develop on the steep southern flank when a firm wide shallow-marine substrate is provided by a bench on the footwall block. The energy of the environment decreases with increased flooding of the strait area. Third-order sequences and higher-order parasequences have been identified in each transect and correlated between transects. Correlations were made using biostratigraphic data and high-resolution sequence stratigraphy in combination with the construction of the relative sea-level curve for each site. The third-order highstands are stacked in a proximal position and separated by exposure surfaces, while the lowstands, deposited in a distal setting, are separated by deep-marine (offshore or subpbotic) deposits. The parasequences produce dominantly aggradational and progradational geometries with transgressive ravinement surfaces and exposure surfaces developing at times. Reconstruction of the depositional profile shows that the third-order sequences are driven by relative sea-level oscillations of 100-150 m, and that these may be attributed to 400-Ka orbital eccentricity cycles. The parasequences are driven by eustatic 20-30 m sea-level oscillations, which may be attributed to the 100-Ka orbital eccentricity cycles. The isolated carbonate build-ups in the Pirinc and Alahan transects develop at the same time as bioclastic tidal deposits in the Silifke area during the transgression of sequence 1. This is caused by a difference in hydrodynamic regime: a direct result of basin morphology funneling tidal currents in the Silifke area. We also demonstrate bow during the highstands a siliciclastic delta system progrades in the Alahan area, while only 12 km to the east, a fringing carbonate platform develops, showing how siliciclastic input can have a very localised effect on carbonate environments. The exceptional quality of the outcrops with its variety of environments and its location at the Tethyan margin make this site a good candidate for a reference model for Burdigalian reef and platform architectures. (C) 2004 Elsevier B.V. All rights reserved.</t>
  </si>
  <si>
    <t>Inst Francais Petr, Rueil Malmaison, France; Univ Fribourg, CH-1700 Fribourg, Switzerland; Istanbul Tech Univ, TR-80626 Istanbul, Turkey</t>
  </si>
  <si>
    <t>IFP Energies Nouvelles; University of Fribourg; Istanbul Technical University</t>
  </si>
  <si>
    <t>Bassant, P (corresponding author), Inst Francais Petr, Rueil Malmaison, France.</t>
  </si>
  <si>
    <t>Phil.bassant@chevrontexaco.com</t>
  </si>
  <si>
    <t>van Buchem, Frans/AAN-4465-2020</t>
  </si>
  <si>
    <t>JAN 3</t>
  </si>
  <si>
    <t>10.1016/j.sedgeo.2004.01.017</t>
  </si>
  <si>
    <t>895DT</t>
  </si>
  <si>
    <t>WOS:000226841800007</t>
  </si>
  <si>
    <t>C</t>
  </si>
  <si>
    <t>Ray, L; Price, A; Streeter, A; Denton, D; Lever, JH</t>
  </si>
  <si>
    <t>IEEE</t>
  </si>
  <si>
    <t>The design of a mobile robot for instrument network deployment in Antarctica</t>
  </si>
  <si>
    <t>2005 IEEE INTERNATIONAL CONFERENCE ON ROBOTICS AND AUTOMATION (ICRA), VOLS 1-4</t>
  </si>
  <si>
    <t>IEEE International Conference on Robotics and Automation ICRA</t>
  </si>
  <si>
    <t>Proceedings Paper</t>
  </si>
  <si>
    <t>IEEE International Conference on Robotics and Automation (ICRA)</t>
  </si>
  <si>
    <t>APR 18-22, 2005</t>
  </si>
  <si>
    <t>Barcelona, SPAIN</t>
  </si>
  <si>
    <t>mobile robot; solar power; Antarctica</t>
  </si>
  <si>
    <t>This paper describes the design and fabrication of a low cost, solar powered mobile robot to support a variety of scientific missions on the Antarctic plateau during the austral summer. Key to the overall design is maintaining a lightweight vehicle by using a high strength and stiffness honeycomb-fiberglass composite chassis, custom wheels and drivetrain mounting components, and high efficiency, low cost solar cells. A solar power availability analysis is detailed, demonstrating that in the low elevation of the summer sun and high albedo of pristine snow, a robot with panels on all sides exposed to direct and reflected sunlight provides ample power, even under worst-case insolation conditions. A relatively simple navigation and control algorithm provides low-bandwidth path planning and course correction. A description of potential instruments to be deployed and scientific studies aided by networks of such autonomous solar robots is provided.</t>
  </si>
  <si>
    <t>Dartmouth Coll, Thayer Sch Engn, Hanover, NH 03755 USA</t>
  </si>
  <si>
    <t>Dartmouth College</t>
  </si>
  <si>
    <t>Dartmouth Coll, Thayer Sch Engn, 8000 Cummings Hall, Hanover, NH 03755 USA.</t>
  </si>
  <si>
    <t>lray@dartmouth.edu; James.H.Lever@erdc.usace.army.mil</t>
  </si>
  <si>
    <t>Ray, Laura/0000-0001-7769-2373</t>
  </si>
  <si>
    <t>345 E 47TH ST, NEW YORK, NY 10017 USA</t>
  </si>
  <si>
    <t>1050-4729</t>
  </si>
  <si>
    <t>2577-087X</t>
  </si>
  <si>
    <t>0-7803-8914-X</t>
  </si>
  <si>
    <t>IEEE INT CONF ROBOT</t>
  </si>
  <si>
    <t>Robotics</t>
  </si>
  <si>
    <t>Conference Proceedings Citation Index - Science (CPCI-S)</t>
  </si>
  <si>
    <t>BDU48</t>
  </si>
  <si>
    <t>WOS:000235460101147</t>
  </si>
  <si>
    <t>Vitagliano, L; Bonomi, G; Franzese, M; Merlino, A; Vergara, A; Verde, C; di Prisco, G; Mazzarella, L</t>
  </si>
  <si>
    <t>Vitagliano, Luigi; Bonomi, Giovanna; Franzese, Marisa; Merlino, Antonello; Vergara, Alessandro; Verde, Cinzia; di Prisco, Guido; Mazzarella, Lelio</t>
  </si>
  <si>
    <t>Structural Characterization of the Oxidation Pathway of Antarctic Fish Hemoglobins</t>
  </si>
  <si>
    <t>ACTA CRYSTALLOGRAPHICA A-FOUNDATION AND ADVANCES</t>
  </si>
  <si>
    <t>hemoglobin; protein oxidation; protein cooperativity</t>
  </si>
  <si>
    <t>[Vitagliano, Luigi; Vergara, Alessandro; Mazzarella, Lelio] CNR, IBB, Naples, Italy; [Bonomi, Giovanna; Franzese, Marisa; Merlino, Antonello; Vergara, Alessandro; Mazzarella, Lelio] Univ Federico II, Dept Chem, Naples, Italy; [Verde, Cinzia; di Prisco, Guido] CNR, IBP, Naples, Italy</t>
  </si>
  <si>
    <t>Consiglio Nazionale delle Ricerche (CNR); Istituto di Biostrutture e Bioimmagini (IBB-CNR); University of Naples Federico II; Consiglio Nazionale delle Ricerche (CNR); Istituto di Biochimica delle Proteine (IBP-CNR)</t>
  </si>
  <si>
    <t>luigiv@chemistry.unina.it</t>
  </si>
  <si>
    <t>Vergara, Alessandro/C-4435-2013; Merlino, Antonello/AAI-2114-2020</t>
  </si>
  <si>
    <t>2053-2733</t>
  </si>
  <si>
    <t>ACTA CRYSTALLOGR A</t>
  </si>
  <si>
    <t>Acta Crystallogr. Sect. A</t>
  </si>
  <si>
    <t>P.04.03.28</t>
  </si>
  <si>
    <t>C215</t>
  </si>
  <si>
    <t>10.1107/S0108767305090859</t>
  </si>
  <si>
    <t>Chemistry, Multidisciplinary; Crystallography</t>
  </si>
  <si>
    <t>Chemistry; Crystallography</t>
  </si>
  <si>
    <t>VI3UX</t>
  </si>
  <si>
    <t>WOS:000478085801150</t>
  </si>
  <si>
    <t>Tang, SL; Kang, JC; Zhou, SZ; Li, ZJ</t>
  </si>
  <si>
    <t>Sea ice characteristics between the middle Weddell Sea and the Prydz Bay, Antarctica during the austral summer of 2003</t>
  </si>
  <si>
    <t>ACTA OCEANOLOGICA SINICA</t>
  </si>
  <si>
    <t>Antarctica; sea ice; characteristics</t>
  </si>
  <si>
    <t>THICKNESS DISTRIBUTION; AMUNDSEN SEAS; SNOW COVER; BELLINGSHAUSEN; VARIABILITY</t>
  </si>
  <si>
    <t>The antarctic sea ice was investigated upon five occasions between January 4 and February 15, 2003. The investigations included: (1) estimation of sea ice distribution by ship-based observations between the middle Weddell Sea and the Prydz Bay; (2) estimation of sea ice distribution by aerial photography in the Prydz Bay; (3) direct measurements of fast ice thickness and snow cover, as well as ice core sampling in Nella Fjord; (4) estimation of melting sea ice distribution near the Zhongshan Station; and (5) observation of sea ice early freeze near the Zhongshan Station. On average, sea ice covered 14.4% of the study area. The highest sea ice concentration (80%) was observed in the Weddell Sea. First-year ice was dominant (99.7%similar to 99.8%). Sea ice distributions in the Prydz Bay were more variable due to complex inshore topography, proximity of the Larsemann Hills, and/or grounded icebergs. The average thickness of land-fast ice in Nella Fjord was 169.5 cm. Wind-blown snow redistribution plays an important role in affecting the ice thickness in Nella Fjord. Preliminary freezing of sea ice near the Zhongshan Station follows the first two phases of the pancake cycle.</t>
  </si>
  <si>
    <t>Lanzhou Univ, Minist Educ, Key Lab Western Chinas Environm Syst, Lanzhou 730000, Peoples R China; Shanghai Normal Univ, Dept Geog, Shanghai 200234, Peoples R China; S China Normal Univ, Guangzhou 510000, Peoples R China; Dalian Univ Technol, State Key Lab Coastal &amp; Offshore Engn, Dalian 116024, Peoples R China</t>
  </si>
  <si>
    <t>Lanzhou University; Shanghai Normal University; South China Normal University; Dalian University of Technology</t>
  </si>
  <si>
    <t>Lanzhou Univ, Minist Educ, Key Lab Western Chinas Environm Syst, Lanzhou 730000, Peoples R China.</t>
  </si>
  <si>
    <t>tangsl@st.lzu.edu.cn</t>
  </si>
  <si>
    <t>Zhou, Shangzhe/O-6581-2015</t>
  </si>
  <si>
    <t>0253-505X</t>
  </si>
  <si>
    <t>1869-1099</t>
  </si>
  <si>
    <t>ACTA OCEANOL SIN</t>
  </si>
  <si>
    <t>Acta Oceanol. Sin.</t>
  </si>
  <si>
    <t>939VR</t>
  </si>
  <si>
    <t>WOS:000230101100002</t>
  </si>
  <si>
    <t>Qu, WZ; Huang, F; Zhao, JP; Yang, L; He, H; Deng, SG; Cao, Y</t>
  </si>
  <si>
    <t>Arctic oscillation and the antarcic oscillation modes in the atmospheric stratosphere</t>
  </si>
  <si>
    <t>solar activity; arctic oscillation; antarctic oscillation; stratosphere</t>
  </si>
  <si>
    <t>SOUTHERN-HEMISPHERE; VARIABILITY; HEIGHT</t>
  </si>
  <si>
    <t>On the basis of the EOF analysis of global geopotential height anomaly (GHA) field at 10 hPa level, the arctic oscillation (AO) and the means antarctic oscillation (AAO) can be detected more obviously at the upper level of atmosphere than the AO or the AAO in surface layer. Unlike the hemisphere pattern of the AO and the AAO in the surface lager given by previous authors, the AO or the AAO in the stratosphere has its global features. The zonal oscillations-the Southern Oscillation (SO) and the north oscillation (NO) in atmospheric surface layer become less clear in the upper air. The first mode (AO mode, abbreviated to AOM hereafter) and the second mode (AAO mode, abbreviated to AAOM hereafter) respectively have 41.47% and 27.04% of the total variance contribution. The cumulative variance contribution of the first two modes reaches 68.51%. These two modes are the main components for the interdecadal or decadal oscillation in the stratosphere. In addition, there still exist two kinds of oscillation patterns with less probability, namely, the symmetric pattern at mid-high latitudes in the Southern Hemisphere and the asymmetric pattern. Spectral analysis shows that the AOM and the AAOM all have a spectral peak for 22 a period, being consistent with the periodic variations of the solar magnetic field, and a peak for 11 a period, being consistent with the period of the numbers of sunspots. Step filter analysis shows that the influencing factor for the upper atmospheric oscillation is the solar activity. The fluctuation of the solar magnetic field is the more influencing factor than the variation of the sunspot number.</t>
  </si>
  <si>
    <t>Ocean Univ China, Phys Oceanog Lab, Qingdao 266003, Peoples R China</t>
  </si>
  <si>
    <t>Ocean University of China</t>
  </si>
  <si>
    <t>Qu, WZ (corresponding author), Ocean Univ China, Phys Oceanog Lab, Qingdao 266003, Peoples R China.</t>
  </si>
  <si>
    <t>quweizhe@ouc.edu.cn</t>
  </si>
  <si>
    <t>998XG</t>
  </si>
  <si>
    <t>WOS:000234352600005</t>
  </si>
  <si>
    <t>Liu, JP; Zhang, ZH; Wu, HD</t>
  </si>
  <si>
    <t>Improved sea-ice radiative processes in a global coupled climate model</t>
  </si>
  <si>
    <t>sea ice; GISS coupled model; surface albedo; penetration of solar radiation; arctic and antarctic</t>
  </si>
  <si>
    <t>OCEAN CIRCULATION MODELS; THICKNESS DISTRIBUTION; SENSITIVITY; PARAMETERIZATIONS; THERMODYNAMICS; RESOLUTION</t>
  </si>
  <si>
    <t>The NASA Goddard Institute for Space Studies (GISS) coupled global climate model was used to investigate the sensitivity of sea ice to improved representations of sea-ice radiative processes: (1) a more sophisticated surface albedo scheme and (2) the penetration of solar radiation in sea ice. The results show that the large-scale sea-ice conditions are very sensitive to the aforementioned parameterizations. Although the more sophisticated surface albedo scheme produces a more realistic seasonal cycle of the surface albedo as compared with the baseline simulation, the resulting higher albedo relative to the baseline simulation generates much more and thicker ice in the arctic. The penetration of solar radiation in sea-ice itself tends to reduce the ice cover and thickness in the entire arctic and the western antarctic, and increase the ice cover and thickness in the eastern antarctic. The combination of (1) and (2) significantly improves the simulations of the average ice thickness and its spatial distribution in the arctic. The atmospheric responses associated with sea-ice changes were also discussed. While improvements are seen, particularly of the ice thickness distribution, there are still some unrealistic aspects that will require further improvements to the sea-ice component.</t>
  </si>
  <si>
    <t>Georgia Inst Technol, Sch Earth &amp; Atmospher Sci, Atlanta, GA 30332 USA; Polar Res Inst China, State Ocean Adm Key Lab Polar Sci, Shanghai 200129, Peoples R China; Natl Marine Environm Forecast Ctr, Beijing 100081, Peoples R China</t>
  </si>
  <si>
    <t>University System of Georgia; Georgia Institute of Technology; Polar Research Institute of China; National Marine Environmental Forecasting Center</t>
  </si>
  <si>
    <t>Liu, JP (corresponding author), Georgia Inst Technol, Sch Earth &amp; Atmospher Sci, Atlanta, GA 30332 USA.</t>
  </si>
  <si>
    <t>jliu@eas.gatech.edu</t>
  </si>
  <si>
    <t>LIU, JIPING/N-6696-2016</t>
  </si>
  <si>
    <t>CHINA OCEAN PRESS</t>
  </si>
  <si>
    <t>INTERNATIONAL DEPT, 8 DA HUI SHI, BEIJING 100081, PEOPLES R CHINA</t>
  </si>
  <si>
    <t>WOS:000234352600008</t>
  </si>
  <si>
    <t>Ma, Q; Chen, M; Qiu, YS; Li, YP</t>
  </si>
  <si>
    <t>Regional estimates of POC export flux derived from thorium-234 in the western Arctic Ocean</t>
  </si>
  <si>
    <t>POC export flux; Th-234; western Arctic Ocean</t>
  </si>
  <si>
    <t>PARTICULATE ORGANIC-CARBON; ANTARCTIC POLAR FRONT; CANADA BASIN; PRIMARY PRODUCTIVITY; SCAVENGING RATES; WATER COLUMN; SPRING BLOOM; CHUKCHI SEA; ICE; NITROGEN</t>
  </si>
  <si>
    <t>In order to elucidate the regional export variation of particulate organic carbon in the western Arctic Ocean, samples vertically integrated between 0 and 100 m. depth or between 0 and 30 m/40 m depth were collected for total Th-234 measurements and those from 30 m/40 m or 100 m depth were collected for particulate Th-234 measurements during the Second Chinese Arctic Expedition in July-September 2003. The removal fluxes and residence time of Th-234 in the upper water column were calculated by using irreversible steady-state scavenging model. The results showed that, total Th-234 was deficit relative to its parent U-238 in the western Arctic Ocean except in the western Chukchi shelf and the slope regions around 160 degrees W, indicating that scavenging and removal processes play an important role in element biogeochemical cycle in the Arctic Ocean. In the western Chukchi shelf and the slope regions around 160 degrees W, total Th-234 was excess relative to U-238, ascribing to the horizontal input of Th-234 adsorbed by ice-rafted sediments. Thorium-234 removal fluxes decreased from the shelf to the deep ocean, while the residence time of Th-234 increased from shelf to offshore, demonstrating that particle scavenging and removal processes are more active in the shelf regions. The estimated POC export fluxes from 40 m in the shelf regions and from 100 m. in the slope and deep ocean varied between 1.6 and 27.5 mmol/(m(2).d), and between 1.8 and 14.4 mmol/(m(2).d), respectively. The averaged POC export fluxes over the entire water column decreased from the shelf to the deep ocean, indicating that the Chukchi shelf is an important region for organic carbon sequestration. The high ThE ratios (ratio of POC export flux derived from (234)Tn/U-238 disequilibria to primary production) in the western Arctic Ocean suggested that the biological pump runs actively in high-latitudes.</t>
  </si>
  <si>
    <t>Xiamen Univ, Dept Oceanog, Xiamen 361005, Peoples R China; Xiamen Univ, State Key Lab Marine Environm Sci, Xiamen 361005, Peoples R China</t>
  </si>
  <si>
    <t>Xiamen University; Xiamen University</t>
  </si>
  <si>
    <t>Xiamen Univ, Dept Oceanog, Xiamen 361005, Peoples R China.</t>
  </si>
  <si>
    <t>mchen@xmu.edu.cn</t>
  </si>
  <si>
    <t>Chen, Min/B-7763-2012</t>
  </si>
  <si>
    <t>Chen, Min/0000-0003-0369-694X</t>
  </si>
  <si>
    <t>WOS:000234352600011</t>
  </si>
  <si>
    <t>Li, HR; Yu, Y; Chen, B; Zeng, YX; Ren, DM</t>
  </si>
  <si>
    <t>Molecular genetic diversity of bacteria in the bottom section of arctic sea ice from the Canada Basin</t>
  </si>
  <si>
    <t>sea ice; Arctic Ocean; bacteria; 16S rDNA; phylogenetic analysis</t>
  </si>
  <si>
    <t>MICROBIAL COMMUNITIES; VERTICAL-DISTRIBUTION; MCMURDO-SOUND; WEDDELL SEA; ANTARCTICA; ABUNDANCE; HABITAT</t>
  </si>
  <si>
    <t>PCR-DGGE approach was used to analyze bacterial diversity in the bottom section of seven arctic sea ice samples colleted from the Canada Basin. Thirty-two 16S rDNA sequences were obtained from prominent DGGE bands. The closest relatives of these sequences are found to be those of cultivated or uncultured bacteria from antarctic or arctic sea ice. Phylogenetic analysis clustered these sequences or phylotypes within alpha- proteobacteria, gamma-proteobacteria and CFB (cytophaga-flexibacter-bacteroides) group. Sequences belonging to gamma-proteobacteria were dominant and members of the CFB group were highly abundant. It was suggested that the CFB group was the representative of the bottom section of sea ice samples.</t>
  </si>
  <si>
    <t>Polar Res Inst China, State Ocean Adm Key Lab Polar Sci, Shanghai 200136, Peoples R China; Fudan Univ, State Key Lab Genet Engn, Inst Genet, Shanghai 200433, Peoples R China</t>
  </si>
  <si>
    <t>Polar Research Institute of China; Fudan University</t>
  </si>
  <si>
    <t>Li, HR (corresponding author), Polar Res Inst China, State Ocean Adm Key Lab Polar Sci, Shanghai 200136, Peoples R China.</t>
  </si>
  <si>
    <t>lihuirong72@163.com</t>
  </si>
  <si>
    <t>WOS:000234352600017</t>
  </si>
  <si>
    <t>Xie, ZQ; Sun, LG; Jihong, CD</t>
  </si>
  <si>
    <t>Non-sea-salt sulfate in the marine boundary layer and its possible impact on chloride depletion</t>
  </si>
  <si>
    <t>non-sea-salt sulfate; marine boundary layer; chloride depletion</t>
  </si>
  <si>
    <t>ATMOSPHERIC SULFUR; DIMETHYL SULFIDE; AEROSOL; METHANESULFONATE; NITRATE; EMISSIONS; CIRCULATION; TROPOSPHERE; PARTICLES; RELEASE</t>
  </si>
  <si>
    <t>Aerosol samples were collected on board the research vessel Xuelong during the Fifteenth Chinese Antarctic Research Expedition (CHINARE XV) in November 1998-April 1999 and the First Chinese Arctic Research Expedition in July-September 1999. The areas traversed by the expeditionary cruises include the Arctic Ocean, the western North Pacific Ocean and the eastern Indian Ocean, covering 75 degrees N-69 degrees S and 75 degrees E-133 degrees W. Aerosol samples were also taken at the Chinese Zhongshan Station in East Antarctica during the CHINARE XV. Analysis of the samples yielded concentrations of non-sea-salt sulfate and other soluble chemical species in the marine boundary layer. The data suggest that the chemical composition of the marine aerosols is influenced by three major sources: continental air masses, primary oceanic emissions, and secondary marine aerosols originated from oceanic emissions. The results show that, awing to strong anthropogenic sulfur emissions from the Asian continent, non-sea-salt sulfate concentrations in the Northern Hemisphere (the western North Pacific) marine aerosol are significantly higher than those in the Southern Hemisphere (the eastern Indian Ocean). Aerosol non-sea-salt sulfate concentrations appear to be inversely correlated with aerosol non-sea-salt chloride which shows significantly negative values, indicating the loss of chloride by sea salts, in most aerosol samples. Since gaseous HCl may be involved in chemical reactions that deplete atmospheric ozone in the marine boundary layer (MBL). high levels of acidic non-sea-salt-sulfate released by human activities in the low and mid-latitudes of the Northern Hemisphere may become an important potential contributor to the loss of atmospheric ozone in the MBL.</t>
  </si>
  <si>
    <t>Univ Sci &amp; Technol China, Inst Polar Environm, Sch Earth &amp; Space Sci, Anhua 230026, Peoples R China; S Dakota State Univ, Dept Chem &amp; Biochem, Brookings, SD 57007 USA</t>
  </si>
  <si>
    <t>Chinese Academy of Sciences; University of Science &amp; Technology of China, CAS; South Dakota State University</t>
  </si>
  <si>
    <t>Univ Sci &amp; Technol China, Inst Polar Environm, Sch Earth &amp; Space Sci, Anhua 230026, Peoples R China.</t>
  </si>
  <si>
    <t>zqxie@wmich.edu</t>
  </si>
  <si>
    <t>WOS:000234352600018</t>
  </si>
  <si>
    <t>Gray, M</t>
  </si>
  <si>
    <t>Thompson, JMT</t>
  </si>
  <si>
    <t>Gray, Malcolm</t>
  </si>
  <si>
    <t>ASTROPHYSICAL DUST</t>
  </si>
  <si>
    <t>ADVANCES IN ASTRONOMY: FROM THE BIG BANG TO THE SOLAR SYSTEM</t>
  </si>
  <si>
    <t>Royal Society Series on Advances in Science</t>
  </si>
  <si>
    <t>Article; Book Chapter</t>
  </si>
  <si>
    <t>INTERSTELLAR DUST</t>
  </si>
  <si>
    <t>I consider the 'life-cycle' of astrophysical dust, from its formation an(I journey through the interstellar medium of the Galaxy, to its destruction. Likely structures for dust grains are examined, and the processes which control the composition of dust, grains. I discuss the importance of astrophysical grain surfaces as sites of interstellar chemistry, and the effects of dust on the radiation which we observe from the Universe.</t>
  </si>
  <si>
    <t>[Gray, Malcolm] Univ Manchester, Dept Phys, Manchester M60 1QD, Lancs, England; [Gray, Malcolm] Univ Bristol, Bristol BS8 1TH, Avon, England; [Gray, Malcolm] British Antarctic Survey, Cambridge, England; [Gray, Malcolm] Univ Manchester, Manchester M13 9PL, Lancs, England; [Gray, Malcolm] Manchester Univ Gilbert, Manchester, Lancs, England; [Gray, Malcolm] British Antarctic Survey, Cambridge, England</t>
  </si>
  <si>
    <t>University of Manchester; University of Bristol; UK Research &amp; Innovation (UKRI); Natural Environment Research Council (NERC); NERC British Antarctic Survey; University of Manchester; UK Research &amp; Innovation (UKRI); Natural Environment Research Council (NERC); NERC British Antarctic Survey</t>
  </si>
  <si>
    <t>Gray, M (corresponding author), Univ Manchester, Dept Phys, POB 88, Manchester M60 1QD, Lancs, England.</t>
  </si>
  <si>
    <t>Malcolm.Gray@umist.ac.uk</t>
  </si>
  <si>
    <t>IMPERIAL COLLEGE PRESS</t>
  </si>
  <si>
    <t>COVENT GARDEN</t>
  </si>
  <si>
    <t>57 SHELTON STREET, COVENT GARDEN WC2H 9HE, ENGLAND</t>
  </si>
  <si>
    <t>1793-1827</t>
  </si>
  <si>
    <t>978-1-86094-577-9</t>
  </si>
  <si>
    <t>ROY SOC SER ADV SCI</t>
  </si>
  <si>
    <t>Book Citation Index – Science (BKCI-S)</t>
  </si>
  <si>
    <t>BKX42</t>
  </si>
  <si>
    <t>WOS:000269526700012</t>
  </si>
  <si>
    <t>Bridge, PD; Spooner, BM; Roberts, PJ</t>
  </si>
  <si>
    <t>Callow, JA</t>
  </si>
  <si>
    <t>The impact of molecular data in fungal systematics</t>
  </si>
  <si>
    <t>ADVANCES IN BOTANICAL RESEARCH, VOL 42</t>
  </si>
  <si>
    <t>Advances in Botanical Research</t>
  </si>
  <si>
    <t>Review; Book Chapter</t>
  </si>
  <si>
    <t>FRAGMENT-LENGTH-POLYMORPHISMS; GENETIC SIMILARITY COEFFICIENTS; RIBOSOMAL DNA POLYMORPHISMS; MITOCHONDRIAL-DNA; SEQUENCE VARIATION; ECTOMYCORRHIZAL FUNGI; EUKARYOTIC DIVERSITY; CONGRUENT EVIDENCE; BETA-TUBULIN; RAPD DATA</t>
  </si>
  <si>
    <t>Molecular data has been used in fungal systematics since the 1970s, and its rate of incorporation has increased significantly in recent years. In phylogeny molecular data has already been used to clarify major evolutionary lines, and has aided in the delineation of higher taxonomic groups including the kingdom Fungi, and the main phyla within it. Molecular data has been used at all taxonomic levels and has allowed for a greater phylogenetic signal to be represented within systematic groups. At the higher levels this has led to the re-evaluation of some orders and families, and at lower taxonomic levels it has helped in the identification of species, particular populations and possibly individuals. There are however some limitations to the widespread use of molecular data. Some of these relate to the comparability and utility of methods between different fungal groups, some relate to the wide diversity of life cycles adopted by fungi, and others are due to the paucity of comparable definitive evolutionary markers. A significant limitation to the wider application of molecular data is the restricted range of data currently available, and the relation of this to the as yet unquantified numbers of undescribed species. Despite these limitations molecular data has had a very significant effect on our understanding of fungal systematics, and many further systematic aspects are likely to be elucidated in the future.</t>
  </si>
  <si>
    <t>British Antarctic Survey, Cambridge CB3 0ET, England; Royal Bot Gardens, Mycol Sect, Richmond TW9 3AB, Surrey, England</t>
  </si>
  <si>
    <t>UK Research &amp; Innovation (UKRI); Natural Environment Research Council (NERC); NERC British Antarctic Survey; Royal Botanic Gardens, Kew</t>
  </si>
  <si>
    <t>ACADEMIC PRESS LTD-ELSEVIER SCIENCE LTD</t>
  </si>
  <si>
    <t>125 LONDON WALL, LONDON EC2Y 5AS, ENGLAND</t>
  </si>
  <si>
    <t>0065-2296</t>
  </si>
  <si>
    <t>2162-5948</t>
  </si>
  <si>
    <t>0-12-005942-8</t>
  </si>
  <si>
    <t>ADV BOT RES</t>
  </si>
  <si>
    <t>Adv. Bot. Res.</t>
  </si>
  <si>
    <t>10.1016/S0065-2296(05)42002-9</t>
  </si>
  <si>
    <t>Book Citation Index – Science (BKCI-S); Science Citation Index Expanded (SCI-EXPANDED)</t>
  </si>
  <si>
    <t>BCP73</t>
  </si>
  <si>
    <t>WOS:000230616400002</t>
  </si>
  <si>
    <t>Gabric, AJ; Qu, B; Matrai, P; Hirst, AC</t>
  </si>
  <si>
    <t>Brebbia, CA</t>
  </si>
  <si>
    <t>A modelling analysis of the response of dimethylsulphide production in the Arctic Ocean to global warming</t>
  </si>
  <si>
    <t>Air Pollution XIII</t>
  </si>
  <si>
    <t>WIT TRANSACTIONS ON ECOLOGY AND THE ENVIRONMENT</t>
  </si>
  <si>
    <t>13th International Conference on Modelling, Monitoring and Management of Air Pollution</t>
  </si>
  <si>
    <t>Cordoba, SPAIN</t>
  </si>
  <si>
    <t>climate change; feedbacks; Arctic; dimethylsulphide (DMS); dimethylsulphoniopropionate (DMSP); mixed layer depth (MLD); ice algae</t>
  </si>
  <si>
    <t>ANTARCTIC SOUTHERN-OCEAN; SIMULATED CLIMATE-CHANGE; CENTRAL BARENTS SEA; MARGINAL ICE-ZONE; SEASONAL-VARIATION; VERNAL BLOOM; SULFIDE; PHYTOPLANKTON; FLUX; SULFUR</t>
  </si>
  <si>
    <t>Tropospheric aerosol particles constitute one of the largest uncertainties in model projections of the climate change. The major natural source of sulphur aerosols in remote marine atmospheres is dimethylsulphide (DMS), which is ubiquitous in the world's oceans and synthesised by phytoplankton. Climate models point to significant future changes in sea-ice cover in the Arctic Ocean that may have consequences for primary production, and the sea-to-air flux of a number of biogenic compounds, including DMS. In this paper we discuss the impact of warming on the future production of DMS in the Arctic Ocean. A DMS production model has been calibrated to contemporary climate conditions using satellite ocean colour data (SeaWiFS). The CSIRO MK 2 climate model is used to force the DMS model under enhanced greenhouse climate conditions. Significant decreases in sea ice cover (by 18.5% annually and 61% in summer-autumn), increases of mean annual sea surface temperature (SST) by 1 degrees C and a decrease of mixed layer depth (MLD) by 13% annually, is predicted to lead to annual DMS flux increases of more than 100% (from 131.7 to 270.6 mu mole m(-2)) by the time of equivalent CO2 tripling (2080). This is likely to have major consequences for summer sulphate aerosol concentrations in the Arctic region.</t>
  </si>
  <si>
    <t>Griffith Univ, Nathan, Qld 4111, Australia</t>
  </si>
  <si>
    <t>Griffith University</t>
  </si>
  <si>
    <t>Gabric, AJ (corresponding author), Griffith Univ, Nathan, Qld 4111, Australia.</t>
  </si>
  <si>
    <t>Hirst, Anthony/N-1041-2014; Hirst, Anthony/E-2756-2013; Gabric, Albert J/S-1551-2017</t>
  </si>
  <si>
    <t>WIT PRESS</t>
  </si>
  <si>
    <t>SOUTHAMPTON</t>
  </si>
  <si>
    <t>ASHURST LODGE, SOUTHAMPTON SO40 7AA, ASHURST, ENGLAND</t>
  </si>
  <si>
    <t>1746-448X</t>
  </si>
  <si>
    <t>1-84564-014-4</t>
  </si>
  <si>
    <t>WIT TRANS ECOL ENVIR</t>
  </si>
  <si>
    <t>BCN62</t>
  </si>
  <si>
    <t>WOS:000230300700012</t>
  </si>
  <si>
    <t>Whitehead, JM</t>
  </si>
  <si>
    <t>Cenozoic history of Antarctic benthic diatoms</t>
  </si>
  <si>
    <t>ALCHERINGA</t>
  </si>
  <si>
    <t>Antarctic; diatom; benthic; biostratigraphy; Cenozoic</t>
  </si>
  <si>
    <t>PRINCE CHARLES MOUNTAINS; SEA-ICE MICROALGAE; SOUTHERN-OCEAN; PRYDZ BAY; COMMUNITY STRUCTURE; MIDDLE MIOCENE; VESTFOLD HILLS; WEDDELL SEA; EDGE ZONE; EVOLUTION</t>
  </si>
  <si>
    <t>Antarctic Cenozoic climate changes have influenced the development of the Southern Ocean benthic diatom flora. When Antarctica and South America., separated in the late Eocene (similar to 37 Ma), giving rise to the proto-Antarctic Circumpolar Current (ACC), the environment gradually changed from temperate alpine glacial to subpolar with ice sheet development. By the early Oligocene (similar to 30 Ma), at least thirteen new benthic diatom genera had appeared in the Antarctic. Many of the genera probably migrated from lower latitudes (e.g. New Zealand) prior to the ACC becoming fully established (23 +/- 2.5 Ma), which increased the physical separation of Antarctica. Further migration may have occurred during later periods of climate warming, but the Cenozoic was generally a time of progressive climate cooling, and increased glaciation that may have caused diatom extinctions. Some genera became extinct during the late Pliocene and Pleistocene, for example, when glaciers covered much of the Antarctic continental shelf. Many of the benthic diatom genera now extinct in Antarctica still occur in ice-free environments at lower latitudes. Most extant benthic Antarctic diatom taxa are eurytopic and probably survived Cenozoic glaciations by either inhabiting sea-ice or becoming planktic, as sea-floor habitats were restricted.</t>
  </si>
  <si>
    <t>Univ Tasmania, Inst Antarctic &amp; So Ocean Studies, Hobart, Tas 7001, Australia; Univ Nebraska, Dept Geosci, Lincoln, NE 68588 USA</t>
  </si>
  <si>
    <t>University of Tasmania; University of Nebraska System; University of Nebraska Lincoln</t>
  </si>
  <si>
    <t>Jason.whitehead@utas.edu.au</t>
  </si>
  <si>
    <t>0311-5518</t>
  </si>
  <si>
    <t>1752-0754</t>
  </si>
  <si>
    <t>Alcheringa</t>
  </si>
  <si>
    <t>10.1080/03115510508619565</t>
  </si>
  <si>
    <t>949LD</t>
  </si>
  <si>
    <t>WOS:000230787700008</t>
  </si>
  <si>
    <t>A new Eocene Araucaria from Seymour Island, Antarctica:: evidence from growth form and bark morphology</t>
  </si>
  <si>
    <t>Cenozoic; Eocene; wood; Antarctica; coniferales; Araucariaceae</t>
  </si>
  <si>
    <t>LATE ALBIAN CONIFERALES; LIVINGSTON ISLAND; ALEXANDER ISLAND; WILLIAMS POINT; FOSSIL WOODS; FOREST</t>
  </si>
  <si>
    <t>Araucarian conifers are an important component of Cretaceous through Paleogene floras in the Antarctic Peninsula. A well-preserved Eocene petrified trunk from Seymour Island, Antarctica reveals the growth form and bark morphology that. along with wood anatomical characteristics, places the tree within Araucaria. The tree was at least 14 m tall with a monopodial habit and horizontally wrinkled bark. Wood-decaying fungi colonized the trunk after it had fallen to the forest floor. The fungi invaded the trunk through the pith and initially along ray cells leaving strongly lignitized cells relatively intact. This indicates preferentially consumption of sugars suggesting these fungi formed the first stages of nutrient recycling within this Eocene ecosystem.</t>
  </si>
  <si>
    <t>Swedish Museum Nat Hist, Dept Palaeobot, S-10405 Stockholm, Sweden; Univ Utrecht Branch, Natl Herbarium Netherlands, Dept Earth Sci, NL-3585 CS Utrecht, Netherlands; Univ Utrecht Branch, Natl Herbarium Netherlands, Wood Anat Sect, NL-3585 CS Utrecht, Netherlands</t>
  </si>
  <si>
    <t>Swedish Museum of Natural History; Utrecht University; Utrecht University</t>
  </si>
  <si>
    <t>David.Cantrill@nrm.se; i.poole@geo.uu.nl</t>
  </si>
  <si>
    <t>10.1080/03115510508619310</t>
  </si>
  <si>
    <t>980PL</t>
  </si>
  <si>
    <t>WOS:000233030400011</t>
  </si>
  <si>
    <t>Villar, SEJ; Edwards, HGM; Cockell, CS</t>
  </si>
  <si>
    <t>Raman spectroscopy of endoliths from Antarctic cold desert environments</t>
  </si>
  <si>
    <t>ANALYST</t>
  </si>
  <si>
    <t>ULTRAVIOLET-RADIATION; COMMUNITIES; MARS; BIOMOLECULES; HABITATS; SURFACE</t>
  </si>
  <si>
    <t>Six endolithic communities from Antarctic cold desert environments have been analysed by Raman spectroscopy. The extreme conditions that the organisms have to withstand in cold environments leads to the adoption of different survival strategies and adaptation of the geological environment. Production of radiation- and desiccation-protective biomolecules is identifiable but the displacement of potentially protective minerals onto the rock surface has also been detected as a protective mechanism against UV-radiation. In this work, Raman spectroscopy is demonstrated as a valuable technique to determine the organic and inorganic compounds used by microorganisms as protective mechanisms against extreme stress conditions. The data from this study will be useful for construction of molecular recognition biomarkers and remote Raman spectral sensing experiments proposed for terrestrial extremophiles in stressed environments.</t>
  </si>
  <si>
    <t>Univ Bradford, Dept Chem &amp; Forens Sci, Bradford BD7 1DP, W Yorkshire, England; Fac Humanidades &amp; Educ, Area Geodinam Interna, Burgos 09001, Spain; British Antarctic Survey, Cambridge CB3 0WT, England</t>
  </si>
  <si>
    <t>University of Bradford; UK Research &amp; Innovation (UKRI); Natural Environment Research Council (NERC); NERC British Antarctic Survey</t>
  </si>
  <si>
    <t>Edwards, HGM (corresponding author), Univ Bradford, Dept Chem &amp; Forens Sci, Bradford BD7 1DP, W Yorkshire, England.</t>
  </si>
  <si>
    <t>seju@ubu.es; h.g.m.edwards@bradford.ac.uk</t>
  </si>
  <si>
    <t>0003-2654</t>
  </si>
  <si>
    <t>Analyst</t>
  </si>
  <si>
    <t>10.1039/b410854j</t>
  </si>
  <si>
    <t>890BE</t>
  </si>
  <si>
    <t>WOS:000226485900007</t>
  </si>
  <si>
    <t>Blagoveshchenskaya, NF; Borisova, TD; Kornienko, VA; Thidé, B; Rietveld, MT; Kosch, MJ; Bösinger, T</t>
  </si>
  <si>
    <t>Phenomena in the ionosphere-magnetosphere system induced by injection of powerful HF radio waves into nightside auroral ionosphere</t>
  </si>
  <si>
    <t>ANNALES GEOPHYSICAE</t>
  </si>
  <si>
    <t>11th Biannual EISCAT International Workshop</t>
  </si>
  <si>
    <t>AUG, 2003</t>
  </si>
  <si>
    <t>SRI Int, Menlo Pk, CA</t>
  </si>
  <si>
    <t>SRI Int</t>
  </si>
  <si>
    <t>ionosphere; active experiments; ionosphere magnetosphere interactions; radio science; nonlinear phenomena</t>
  </si>
  <si>
    <t>STIMULATED ELECTROMAGNETIC EMISSIONS; ASPECT ANGLE DEPENDENCE; FIELD-ALIGNED CURRENTS; F-REGION; RADAR OBSERVATIONS; HIGH-LATITUDES; EISCAT; TROMSO; AIRGLOW; INSTABILITY</t>
  </si>
  <si>
    <t>Experimental results from three ionospheric HF pumping experiments in overdense E or F regions are summarized. The experiments were conducted by the use of the EISCAT HF Heating facility located near Troms phi, Norway, allowing HF pumping the ionosphere in a near geomagnetic field-aligned direction. Distinctive features related to auroral activations in the course of the experiments are identified. Typical features observed in all experiments are the following: generation of scattered components in dynamic HF radio scatter Doppler spectra; strong increase of ion temperatures T-i and local ionospheric electric field E-0; modification of the auroral arc and local spiral-like formation. However, some effects were observed only when the HF pump wave was reflected from the F2 layer. Among them are the generation of intense field-aligned ion outflows, and a strong increase in the electron temperature T-e with altitude. A possible scenario for the substorm triggering due to HF pumping into an auroral ionosphere is discussed. The authors present their interpretation of the data as follows. It is suggested that two populations of charged particles are at play. One of them is the runaway population of electrons and ions from the ionosphere caused by the effects of the powerful HF radio wave. The other is the population of electrons that precipitate from the magnetosphere. It is shown that the hydrodynamical equilibrium was disrupted due to the effects of the HF pumping. We estimate that the parallel electric field can reach values of the order of 30 mV/m during substorm triggering.</t>
  </si>
  <si>
    <t>Arctic &amp; Antarctic Res Inst, St Petersburg 199397, Russia; Swedish Inst Space Phys, SE-75221 Uppsala, Sweden; EISCAT, N-9027 Ramfjordbotn, Norway; Univ Lancaster, Dept Commun Syst, Lancaster LA1 4YR, England; Oulu Univ, Dept Phys Sci, FIN-90014 Oulu, Finland</t>
  </si>
  <si>
    <t>Arctic &amp; Antarctic Research Institute; Lancaster University; University of Oulu</t>
  </si>
  <si>
    <t>Arctic &amp; Antarctic Res Inst, 38 Bering Str, St Petersburg 199397, Russia.</t>
  </si>
  <si>
    <t>nataly@aari.nw.ru</t>
  </si>
  <si>
    <t>Blagoveshchenskaya, Nataly F./S-4342-2017; Thide, Bo/B-7734-2009; Blagoveshchenskaya, Nataly/AAE-4093-2022; Borisova, Tatiana/AAK-7698-2020</t>
  </si>
  <si>
    <t>Blagoveshchenskaya, Nataly F./0000-0003-1752-3273; Blagoveshchenskaya, Nataly/0000-0003-1752-3273; Thide, Bo/0000-0001-7086-8049; Kosch, Michael Jurgen/0000-0003-2846-3915; Borisova, Tatiana/0000-0003-1727-5310</t>
  </si>
  <si>
    <t>0992-7689</t>
  </si>
  <si>
    <t>1432-0576</t>
  </si>
  <si>
    <t>ANN GEOPHYS-GERMANY</t>
  </si>
  <si>
    <t>Ann. Geophys.</t>
  </si>
  <si>
    <t>10.5194/angeo-23-87-2005</t>
  </si>
  <si>
    <t>Astronomy &amp; Astrophysics; Geosciences, Multidisciplinary; Meteorology &amp; Atmospheric Sciences</t>
  </si>
  <si>
    <t>Astronomy &amp; Astrophysics; Geology; Meteorology &amp; Atmospheric Sciences</t>
  </si>
  <si>
    <t>908RK</t>
  </si>
  <si>
    <t>Green Submitted, Green Accepted, gold</t>
  </si>
  <si>
    <t>WOS:000227806900009</t>
  </si>
  <si>
    <t>McWilliams, KA; Yeoman, TK; Sibeck, DG; Milan, SE; Sofko, GJ; Nagai, T; Mukai, T; Coleman, IJ; Hori, T; Rich, FJ</t>
  </si>
  <si>
    <t>Simultaneous observations of magnetopause flux transfer events and of their associated signatures at ionospheric altitudes (vol 22, pg 2181, 2004)</t>
  </si>
  <si>
    <t>Univ Saskatchewan, Inst Space &amp; Atmospher Studies, Saskatoon, SK, Canada; Univ Leicester, Dept Phys &amp; Astron, Leicester LE1 7RH, Leics, England; NASA, GSFC, Greenbelt, MD USA; Tokyo Inst Technol, Dept Earth &amp; Planetary Sci, Tokyo, Japan; Inst Space &amp; Astronaut Sci, Kanagawa 229, Japan; British Antarctic Survey, Cambridge, England; Johns Hopkins Univ, Appl Phys Lab, Laurel, MD USA; AFRL, VSBXP, Hanscom AFB, MA USA</t>
  </si>
  <si>
    <t>University of Saskatchewan; University of Leicester; National Aeronautics &amp; Space Administration (NASA); NASA Goddard Space Flight Center; Tokyo Institute of Technology; Japan Aerospace Exploration Agency (JAXA); Institute of Space &amp; Astronautical Science (ISAS); UK Research &amp; Innovation (UKRI); Natural Environment Research Council (NERC); NERC British Antarctic Survey; Johns Hopkins University; Johns Hopkins University Applied Physics Laboratory</t>
  </si>
  <si>
    <t>McWilliams, KA (corresponding author), Univ Saskatchewan, Inst Space &amp; Atmospher Studies, Saskatoon, SK, Canada.</t>
  </si>
  <si>
    <t>Sibeck, David G/D-4424-2012; Yeoman, Timothy k/L-9105-2014; Mukai, Toshifumi/ABD-3297-2021</t>
  </si>
  <si>
    <t>Yeoman, Timothy k/0000-0002-8434-4825; Milan, Steve/0000-0001-5050-9604</t>
  </si>
  <si>
    <t>EUROPEAN GEOSCIENCES UNION</t>
  </si>
  <si>
    <t>KATLENBURG-LINDAU</t>
  </si>
  <si>
    <t>MAX-PLANCK-STR 13, 37191 KATLENBURG-LINDAU, GERMANY</t>
  </si>
  <si>
    <t>10.5194/angeo-23-651-2005</t>
  </si>
  <si>
    <t>918YX</t>
  </si>
  <si>
    <t>gold</t>
  </si>
  <si>
    <t>WOS:000228586600033</t>
  </si>
  <si>
    <t>Chisham, G; Freeman, MP; Sotirelis, T; Greenwald, RA; Lester, M; Villain, JP</t>
  </si>
  <si>
    <t>A statistical comparison of SuperDARN spectral width boundaries and DMSP particle precipitation boundaries in the morning sector ionosphere</t>
  </si>
  <si>
    <t>ionosphere; particle precipitation; instruments and techniques; magnetospheric physics; magnetopause, cusp and boundary layers</t>
  </si>
  <si>
    <t>POLAR-CAP BOUNDARY; ANGSTROM AURORAL EMISSION; MAGNETIC LOCAL TIME; HF-RADAR; F-REGION; RESOLUTION OBSERVATIONS; ELECTRON-PRECIPITATION; DAYSIDE RECONNECTION; LOW-ALTITUDE; CUSP</t>
  </si>
  <si>
    <t>Determining reliable proxies for the ionospheric signature of the open-closed field line boundary (OCB) is crucial for making accurate ionospheric measurements of many magnetospheric processes (e.g. magnetic reconnection). This study compares the latitudes of Spectral Width Boundaries (SWBs), identified in the morning sector ionosphere using the Super Dual Auroral Radar Network (SuperDARN), with Particle Precipitation Boundaries (PPBs) determined using the low-altitude Defense Meteorological Satellite Program (DMSP) spacecraft, in order to determine whether the SWB represents a good proxy for the ionospheric projection of the OCB. The latitudes of SWBs and PPBs were identified using automated algorithms applied to 5 years (1997-2001) of data measured in the 00:0012:00 Magnetic Local Time (MLT) range. A latitudinal difference was measured between each PPB and the nearest SWB within a 10min Universal Time (UT) window and within a ::L I h MLT window. The results show that the SWB represents a good proxy for the OCB close to midnight (similar to 00:00-02:00 MLT) and noon (similar to 08:00-12:00 MLT), but is located some distance (similar to 2 degrees-4 degrees) equatorward of the OCB across much of the morning sector ionosphere (similar to 02:0008:00 MLT). On the basis of this and other studies we deduce that the SWB is correlated with the poleward boundary of auroral emissions in the Lyman-Birge-Hopfield Long (LBHL) UV emission range and hence, that spectral width is inversely correlated with the energy flux of precipitating electrons. We further conclude that the combination of two factors may explain the spatial distribution of spectral width values in the polar ionospheres. The small-scale structure of the convection electric field leads to an enhancement in spectral width in regions close to the OCB, whereas increases in ionospheric conductivity (relating to the level of incident electron energy flux) lead to a reduction in spectral width in regions just equatorward of the OCB.</t>
  </si>
  <si>
    <t>British Antarctic Survey, Nat Environm Res Council, Cambridge CB3 0ET, England; Johns Hopkins Univ, Appl Phys Lab, Laurel, MD 20723 USA; Univ Leicester, Radio &amp; Space Plasma Phys Grp, Leicester LE1 7RH, Leics, England; CNRS, LPCE, F-45071 Orleans, France</t>
  </si>
  <si>
    <t>UK Research &amp; Innovation (UKRI); Natural Environment Research Council (NERC); NERC British Antarctic Survey; Johns Hopkins University; Johns Hopkins University Applied Physics Laboratory; University of Leicester; Centre National de la Recherche Scientifique (CNRS)</t>
  </si>
  <si>
    <t>British Antarctic Survey, Nat Environm Res Council, High Cross,Madingley Rd, Cambridge CB3 0ET, England.</t>
  </si>
  <si>
    <t>g.chisham@bas.ac.uk</t>
  </si>
  <si>
    <t>Sotirelis, Thomas S/C-2523-2016; Freeman, Mervyn/E-5687-2019</t>
  </si>
  <si>
    <t>Freeman, Mervyn/0000-0002-8653-8279; Greenwald, Raymond/0000-0002-7421-5536</t>
  </si>
  <si>
    <t>Div Atmospheric &amp; Geospace Sciences; Directorate For Geosciences [0849031] Funding Source: National Science Foundation</t>
  </si>
  <si>
    <t>Div Atmospheric &amp; Geospace Sciences; Directorate For Geosciences(National Science Foundation (NSF)NSF - Directorate for Geosciences (GEO))</t>
  </si>
  <si>
    <t>10.5194/angeo-23-733-2005</t>
  </si>
  <si>
    <t>925SG</t>
  </si>
  <si>
    <t>WOS:000229073000009</t>
  </si>
  <si>
    <t>Coleman, IJ</t>
  </si>
  <si>
    <t>A multi-spacecraft survey of magnetic field line draping in the dayside magnetosheath</t>
  </si>
  <si>
    <t>magnetospheric physics; magnetopause, cusp and boundary layers; magnetosheath; solar windmagnetosphere interactions</t>
  </si>
  <si>
    <t>BOUNDARY-LAYER; MAGNETOPAUSE; RECONNECTION; MAGNETOSPHERE; GEOTAIL; WIND; MODEL; FLOW</t>
  </si>
  <si>
    <t>When the interplanetary magnetic field (IMF) encounters the Earth's magnetosphere, it is compressed and distorted. This distortion is known as draping, and plays an important role in the interaction between the IMF and the geomagnetic field. This paper considers a particular aspect of draping, namely how the orientation of the IMF in a plane perpendicular to the Sun-Earth line (the clock angle) is altered by draping in the magnetosheath close to the dayside magnetopause. The clock angle of the magnetosheath field is commonly estimated from the interplanetary magnetic field (IMF) measured by upstream monitoring spacecraft either by assuming that the draping process does not significantly alter the clock angle (perfect draping) or that the change in clock angle is reasonably approximated by a gas dynamic model. In this paper, the magnetosheath clock angles measured during 36 crossings of the magnetopause by the Geotail and Interball-Tail spacecraft are compared to the upstream IMF clock angles measured by the Wind spacecraft. Overall, about 30% of data points exhibit perfect draping within ± 10°, and 70% are within 30°. The differences between the IMF and magnetosheath clock angles are not, in general, well-ordered in any systematic fashion which could be accounted for by hydrodynamic draping. The draping behaviour is asymmetric with respect to the y-component of the IMF, and the form of the draping distribution function is dependent on solar wind pressure. While the average clock angle observed in the magnetosheath does reflect the orientation of the IMF to within ∼ 30° or less, the assumption that the magnetosheath field direction at any particular region of the magnetopause at any instant is approximately similar to the IMF direction is not justified. This study shows that reconnection models which assume laminar draping are unlikely to accurately reflect the distribution of reconnection sites across the dayside magnetopause.</t>
  </si>
  <si>
    <t>Coleman, IJ (corresponding author), British Antarctic Survey, Madingley Rd, Cambridge CB3 0ET, England.</t>
  </si>
  <si>
    <t>10.5194/angeo-23-885-2005</t>
  </si>
  <si>
    <t>WOS:000229073000023</t>
  </si>
  <si>
    <t>Parkinson, ML; Pinnock, M; Wild, JA; Lester, M; Yeoman, TK; Milan, SE; Ye, H; Devlin, JC; F'rey, HU; Kikuchi, T</t>
  </si>
  <si>
    <t>Interhemispheric asymmetries in the occurrence of magnetically conjugate sub-auroral polarisation streams</t>
  </si>
  <si>
    <t>ionosphere; auroral ionosphere; electric fields and currents; ionosphere-magnetosphere interactions; magnetospheric physics; storms and substorms</t>
  </si>
  <si>
    <t>MAGNETOSPHERE-IONOSPHERE SYSTEM; HIGH-LATITUDE IONOSPHERE; RADAR AURORAL SURGES; ELECTRIC-FIELDS; ION DRIFTS; EXPANSION PHASE; BOUNDARY-LAYER; F-REGION; SUBSTORM; CONVECTION</t>
  </si>
  <si>
    <t>Earthward injections of energetic ions and electrons mark the onset of magnetospheric substorms. In the inner magnetosphere (L similar to 4), the energetic ions drift westward and the electrons eastward, thereby enhancing the equatorial ring current. Wave-particle interactions can accelerate these particles to radiation belt energies. The ions are injected slightly closer to Earth in the pre-midnight sector, leading to the formation of a radial polarisation field in the inner magnetosphere. This maps to a poleward electric field just equatorward of the auroral oval in the ionosphere. The poleward electric field is subsequently amplified by ionospheric feedback, thereby producing auroral westward flow channels (AWFCs). In terms of electric field strength, AWFCs are the strongest manifestation of substorms in the ionosphere. Because geomagnetic flux tubes are essentially equi-potentials, similar AWFC signatures should be observed simultaneously in the Northern and Southern Hemispheres. Here we present magnetically conjugate SuperDARN radar observations of AWFC activity observed in the pre-midnight sector during two substorm intervals including multiple onsets during the evening; of 30 November 2002. The Northern Hemisphere observations were made with the Japanese radar located at King Salmon, Alaska (57 A), and the Southern Hemisphere observations with the Tasman International Geospace Environment Radar (TIGER) located at Bruny Island, Tasmania (-55 degrees Lambda). LANL geosynchronous satellite observations of energetic ion and electron fluxes monitored the effects of substorms in the inner magnetosphere (L-6). The radar-observed AWFC activity was coincident with activity observed at geosynchronous orbit, as well as westward current surges in the ionosphere observed using ground-based magnetometers. The location of AWFCs with respect to the auroral oval was inferred from FUV auroral images recorded on board the IMAGE spacecraft. DMSP SSIES ion drift measurements confirmed the presence of AWFCs equatorward of the auroral oval. Systematic asymmetries in the interhemispheric signatures of the AWFCs probably arose because the magnetic flux tubes were distorted at L shells passing close to the substorm dipolarisation region. Transient asymmetries were attributed to the development of nearby field-aligned potential drops and currents.</t>
  </si>
  <si>
    <t>La Trobe Univ, Dept Phys, Bundoora, Vic 3086, Australia; British Antarctic Survey, NERC, Cambridge CB3 0ET, England; Univ Leicester, Dept Phys &amp; Astron, Leicester LE1 7RH, Leics, England; La Trobe Univ, Dept Elect Engn, Bundoora, Vic 3086, Australia; Univ Calif Berkeley, Space Sci Lab, Berkeley, CA 94720 USA; Commun Res Labs, Koganei, Tokyo 1848795, Japan</t>
  </si>
  <si>
    <t>La Trobe University; UK Research &amp; Innovation (UKRI); Natural Environment Research Council (NERC); NERC British Antarctic Survey; University of Leicester; La Trobe University; University of California System; University of California Berkeley; National Institute of Information &amp; Communications Technology (NICT) - Japan</t>
  </si>
  <si>
    <t>Parkinson, ML (corresponding author), La Trobe Univ, Dept Phys, Bundoora, Vic 3086, Australia.</t>
  </si>
  <si>
    <t>m.parkinson@latrobe.edu.au</t>
  </si>
  <si>
    <t>Wild, James Anderson/HKN-7736-2023; Yeoman, Timothy k/L-9105-2014</t>
  </si>
  <si>
    <t>Wild, James Anderson/0000-0001-8025-8869; Yeoman, Timothy k/0000-0002-8434-4825; Milan, Steve/0000-0001-5050-9604; Frey, Harald/0000-0001-8955-3282</t>
  </si>
  <si>
    <t>10.5194/angeo-23-1371-2005</t>
  </si>
  <si>
    <t>962BH</t>
  </si>
  <si>
    <t>WOS:000231705500027</t>
  </si>
  <si>
    <t>Blagoveshchensky, DV; Lester, M; Kornienko, VA; Shagimuratov, II; Stocker, AJ; Warrington, EM</t>
  </si>
  <si>
    <t>Observations by the CUTLASS radar, HF Doppler, oblique ionospheric sounding, and TEC from GPS during a magnetic storm</t>
  </si>
  <si>
    <t>ionosphere; ionospheric disturbances; magnetospheric physics; storms and substorms; radio science; ionospheric propagation</t>
  </si>
  <si>
    <t>DYNAMICS</t>
  </si>
  <si>
    <t>Multi-diagnostic observations, covering a significant area of northwest Europe, were made during the magnetic storm interval (28-29 April 2001) that occurred during the High Rate SolarMax IGS/GPS-campaign. HF radio observations were made with vertical sounders (St. Petersburg and Sodankyla), oblique incidence sounders (OIS), on paths from Murmansk to St. Petersburg, 1050 km, and Inskip to Leicester, 170 km, Doppler sounders, on paths from Cyprus to St. Petersburg, 2800 km, and Murmansk to St. Petersburg, and a coherent scatter radar (CUTLASS, Hankasalmi, Finland). These, together with total electron content (TEC) measurements made at GPS stations from the Euref network in northwest Europe, are presented in this paper. A broad comparison of radio propagation data with ionospheric data at high and mid latitudes, under quiet and disturbed conditions, was undertaken. This analysis, together with a geophysical interpretation, allow us to better understand the nature of the ionospheric processes which occur during geomagnetic storms. The peculiarity of the storm was that it comprised of three individual substorms, the first of which appears to have been triggered by a compression of the magnetosphere. Besides the storm effects, vie have also studied substorm effects in the observations separately, providing an improved understanding of the storm/substorm relationship. The main results of the investigations are the following. A narrow trough is formed some 10 h after the storm onset in the TEC which is most likely a result of enhanced ionospheric convection. An enhancement in TEC some 2-3 h after the storm onset is most likely a result of heating and upwelling of the auroral ionosphere caused by enhanced currents. The so-called main effect on ionospheric propagation was observed at mid-latitudes during the first two substorms, but only during the first substorm at high latitudes. Ionospheric irregularities observed by CUTLASS were clearly related to the gradient in TEC associated with the trough. The oblique sounder and Doppler observations also demonstrate differences between the mid-latitude and high-latitude paths during this particular storm.</t>
  </si>
  <si>
    <t>St Petersburg Univ Aerosp Instrumentat, Dept Radioengn, St Petersburg, Russia; Univ Leicester, Dept Phys &amp; Astron, Leicester LE1 7RH, Leics, England; Arctic &amp; Antarctic Res Inst, Dept Geophys, St Petersburg 199226, Russia; IZMIRAN, W Dept, Kaliningrad, Russia; Univ Leicester, Dept Engn, Leicester LE1 7RH, Leics, England</t>
  </si>
  <si>
    <t>Saint Petersburg State University of Aerospace Instrumentation; University of Leicester; Arctic &amp; Antarctic Research Institute; Russian Academy of Sciences; Pushkov Institute of Terrestrial Magnetism, Ionosphere &amp; Radio Wave Propagation; University of Leicester</t>
  </si>
  <si>
    <t>St Petersburg Univ Aerosp Instrumentat, Dept Radioengn, St Petersburg, Russia.</t>
  </si>
  <si>
    <t>dvb@ppp.delfa.net</t>
  </si>
  <si>
    <t>Warrington, Michael/0000-0001-6505-7380</t>
  </si>
  <si>
    <t>10.5194/angeo-23-1697-2005</t>
  </si>
  <si>
    <t>962BQ</t>
  </si>
  <si>
    <t>WOS:000231706400018</t>
  </si>
  <si>
    <t>Chisham, G; Freeman, MP; Sotirelis, T; Greenwald, RA</t>
  </si>
  <si>
    <t>The accuracy of using the spectral width boundary measured in off-meridional SuperDARN HF radar beams as a proxy for the Open-Closed Field Line Boundary</t>
  </si>
  <si>
    <t>ionosphere; instruments and techniques; plasma convection; magnetospheric physics; magnetopause, cusp and boundary layers</t>
  </si>
  <si>
    <t>INTERPLANETARY MAGNETIC-FIELD; DAYSIDE RECONNECTION; CUSP; LAYER; SUBSTORM; INTERVAL</t>
  </si>
  <si>
    <t>Determining reliable proxies for the ionospheric signature of the open-closed field line boundary (OCB) is crucial for making accurate measurements of magnetic reconnection. This study compares the latitudes of spectral width boundaries (SWBs) measured by different beams of the Goose Bay radar of the Super Dual Auroral Radar Network (SuperDARN), with the latitudes of OCBs determined using the low-altitude Defense Meteorological Satellite Program (DMSP) spacecraft, in order to determine whether the accuracy of the SWB as a proxy for the ionospheric projection of the OCB depends on the line-of-sight direction of the radar beam. The latitudes of SWBs and OCBs were identified using automated algorithms applied to 5 years (19972001) of data measured in the 1000-1400 magnetic local time (MLT) range. Six different Goose Bay radar beams were used, ranging from those aligned in the geomagnetic meridional direction to those aligned in an almost zonal direction. The results show that the SWB is a good proxy for the OCB in near-meridionally-aligned beams but becomes progressively more unreliable for beams greater than 4 beams away from the meridional direction. We propose that SWBs are identified at latitudes lower than the OCB in the off-meridional beams due to the presence of high spectral width values that result from changes in the orientation of the beams with respect to the gradient in the large-scale ionospheric convection pattern.</t>
  </si>
  <si>
    <t>NERC, British Antarctic Survey, Cambridge CB3 0ET, England; Johns Hopkins Univ, Appl Phys Lab, Laurel, MD 20723 USA</t>
  </si>
  <si>
    <t>UK Research &amp; Innovation (UKRI); Natural Environment Research Council (NERC); NERC British Antarctic Survey; Johns Hopkins University; Johns Hopkins University Applied Physics Laboratory</t>
  </si>
  <si>
    <t>Chisham, G (corresponding author), NERC, British Antarctic Survey, High Cross,Madingley Rd, Cambridge CB3 0ET, England.</t>
  </si>
  <si>
    <t>Greenwald, Raymond/0000-0002-7421-5536; Freeman, Mervyn/0000-0002-8653-8279</t>
  </si>
  <si>
    <t>10.5194/angeo-23-2599-2005</t>
  </si>
  <si>
    <t>988CL</t>
  </si>
  <si>
    <t>gold, Green Submitted</t>
  </si>
  <si>
    <t>WOS:000233568900030</t>
  </si>
  <si>
    <t>Rodger, CJ; Clilverd, MA; Thomson, NR; Nunn, D; Lichtenberger, J</t>
  </si>
  <si>
    <t>Lightning driven inner radiation belt energy deposition into the atmosphere: regional and global estimates</t>
  </si>
  <si>
    <t>magnetospheric physics; energetic particles; precipitating; magnetosphere-ionosphere interactions; ionosphere; active experiments</t>
  </si>
  <si>
    <t>ELECTRON-PRECIPITATION; AMPLITUDE PERTURBATIONS; VLF PERTURBATIONS; CLIMATE-CHANGE; TRIMPI EVENTS; SUMMER MONTHS; WHISTLERS; MAGNETOSPHERE; DISTRIBUTIONS; ENHANCEMENTS</t>
  </si>
  <si>
    <t>In this study we examine energetic electron precipitation fluxes driven by lightning, in order to determine the global distribution of energy deposited into the middle atmosphere. Previous studies using lightning-driven precipitation burst rates have estimated losses from the inner radiation belts. In order to confirm the reliability of those rates and the validity of the conclusions drawn from those studies, we have analyzed New Zealand data to test our global understanding of troposphere to magnetosphere coupling. We examine about 10 000h of AbsPAL recordings made from 17 April 2003 through to 26 June 2004, and analyze subionospheric very-low frequency (VLF) perturbations observed on transmissions from VLF transmitters in Hawaii (NPM) and western Australia (NWC). These observations are compared with those previously reported from the Antarctic Peninsula. The perturbation rates observed in the New Zealand data are consistent with those predicted from the global distribution of the lightning sources, once the different experimental configurations are taken into account. Using lightning current distributions rather than VLF perturbation observations we revise previous estimates of typical precipitation bursts at L similar to 2.3 to a mean precipitation energy flux of similar to 1 x 10(-3) ergs cm(-2) s(-1). The precipitation of energetic electrons by these bursts in the range L = 1.9-3.5 will lead to a mean rate of energy deposited into the atmosphere of 3 x 10(-4) ergs cm(-2) min(-1), spatially varying from a low of zero above some ocean regions to highs of similar to 3-6 x 10(-3) ergs cm(-2) min(-1) above North America and its conjugate region.</t>
  </si>
  <si>
    <t>Univ Otago, Dept Phys, Dunedin, New Zealand; British Antarctic Survey, Div Phys Sci, Cambridge CB3 0ET, England; Univ Southampton, Sch Elect &amp; Comp Sci, Southampton, Hants, England; Eotvos Lorand Univ, Space Res Grp, Budapest, Hungary</t>
  </si>
  <si>
    <t>University of Otago; UK Research &amp; Innovation (UKRI); Natural Environment Research Council (NERC); NERC British Antarctic Survey; University of Southampton; Eotvos Lorand University</t>
  </si>
  <si>
    <t>Univ Otago, Dept Phys, Dunedin, New Zealand.</t>
  </si>
  <si>
    <t>crodger@physics.otago.ac.nz</t>
  </si>
  <si>
    <t>Rodger, Craig/A-1501-2011; Lichtenberger, Janos/K-1034-2018</t>
  </si>
  <si>
    <t>Rodger, Craig J./0000-0002-6770-2707; Lichtenberger, Janos/0000-0001-9175-9255</t>
  </si>
  <si>
    <t>10.5194/angeo-23-3419-2005</t>
  </si>
  <si>
    <t>004KN</t>
  </si>
  <si>
    <t>gold, Green Submitted, Green Accepted</t>
  </si>
  <si>
    <t>WOS:000234751800003</t>
  </si>
  <si>
    <t>Chisham, G; Freeman, MP; Lam, MM; Abel, GA; Sotirelis, T; Greenwald, RA; Lester, M</t>
  </si>
  <si>
    <t>A statistical comparison of SuperDARN spectral width boundaries and DMSP particle precipitation boundaries in the afternoon sector ionosphere</t>
  </si>
  <si>
    <t>ionosphere; plasma convection; instruments and techniques; magnetospheric physics; magnetopause, cusp and boundary layers</t>
  </si>
  <si>
    <t>LOW-ALTITUDE; CUSP; LAYER; RECONNECTION; SUBSTORM; FLOWS; FIELD</t>
  </si>
  <si>
    <t>The open-closed magnetic field line boundary (OCB) is best measured at the foot points of the boundary in the Earth's ionosphere where continuous and extensive spatiotemporal measurements can be made. The ability to make routine observations of this type is crucial if accurate global measurements of energy transfer processes occurring at the boundary, such as magnetic reconnection, are to become a reality. The spectral width boundary (SWB) measured by the Super Dual Auroral Radar Network (SuperDARN) has been shown to be a reliable ionospheric proxy for the OCB at certain magnetic local times (MLTs). However, the reliability of the SWB proxy in the afternoon sector ionosphere (12:00-18:00 MLT) has been questionable. In this paper we undertake a statistical comparison of the latitudinal locations of SWBs measured by SuperDARN and particle precipitation boundaries (PPBs) measured by the Defense Meteorological Satellite Program (DMSP) spacecraft, concentrating on the PPB which best approximates the location of the OCB. The latitudes of SWBs and PPBs were identified using automated algorithms applied to 5 years (1997-2001) of data measured in the 12:00-18:00 MLT range. A latitudinal difference was measured between each PPB and the nearest SWB within a +/- 10 min universal time (UT) window and within a +/- 1 h MLT window. The results show that when the SWB is identified at higher geomagnetic latitudes (poleward of similar to 74 degrees), it is a good proxy for the OCB, with 76% of SWBs lying within 3 degrees of the OCB. At lower geomagnetic latitudes (equatorward of similar to 74 degrees), the correlation is poor and the results suggest that most of the SWBs being identified represent ionospheric variations unassociated with the OCB, with only 32% of SWBs lying within 3 degrees of the OCB. We propose that the low level of precipitating electron energy flux, typical of latitudes well equatorward of the OCB in the afternoon sector, may be a factor in enhancing spectral width values at these lower latitudes. A consequence of this would be low latitude SWBs unrelated to the OCB.</t>
  </si>
  <si>
    <t>British Antarctic Survey, NERC, Cambridge CB3 0ET, England; Johns Hopkins Univ, Appl Phys Lab, Laurel, MD 20723 USA; Univ Leicester, Radio &amp; Space Plasma Phys Grp, Leicester LE1 7RH, Leics, England</t>
  </si>
  <si>
    <t>UK Research &amp; Innovation (UKRI); Natural Environment Research Council (NERC); NERC British Antarctic Survey; Johns Hopkins University; Johns Hopkins University Applied Physics Laboratory; University of Leicester</t>
  </si>
  <si>
    <t>Abel, Gary/ABE-1765-2021; Sotirelis, Thomas S/C-2523-2016; Freeman, Mervyn/E-5687-2019</t>
  </si>
  <si>
    <t>Abel, Gary/0000-0003-2231-5161; Freeman, Mervyn/0000-0002-8653-8279; Greenwald, Raymond/0000-0002-7421-5536</t>
  </si>
  <si>
    <t>Directorate For Geosciences; Div Atmospheric &amp; Geospace Sciences [0849031] Funding Source: National Science Foundation</t>
  </si>
  <si>
    <t>Directorate For Geosciences; Div Atmospheric &amp; Geospace Sciences(National Science Foundation (NSF)NSF - Directorate for Geosciences (GEO))</t>
  </si>
  <si>
    <t>10.5194/angeo-23-3645-2005</t>
  </si>
  <si>
    <t>007YW</t>
  </si>
  <si>
    <t>WOS:000235008400008</t>
  </si>
  <si>
    <t>Fischer, UH; Braun, A; Bauder, A; Flowers, GE</t>
  </si>
  <si>
    <t>MacAyeal, DR</t>
  </si>
  <si>
    <t>Changes in geometry and subglacial drainage derived from digital elevation models: Unteraargletscher, Switzerland, 1927-97</t>
  </si>
  <si>
    <t>ANNALS OF GLACIOLOGY, VOL 40, 2005</t>
  </si>
  <si>
    <t>ANNALS OF GLACIOLOGY</t>
  </si>
  <si>
    <t>International Symposium on Ice and Water Interactions</t>
  </si>
  <si>
    <t>JUL 26-30, 2004</t>
  </si>
  <si>
    <t>Portland State Univ, Portland, OR</t>
  </si>
  <si>
    <t>Portland State Univ</t>
  </si>
  <si>
    <t>HAUT GLACIER DAROLLA; BERNESE-ALPS; TRAPRIDGE GLACIER; ICE DEFORMATION; YUKON-TERRITORY; WATER-PRESSURE; BED TOPOGRAPHY; BASAL MOTION; SURFACE; SYSTEM</t>
  </si>
  <si>
    <t>Digital elevation models of the bed and surface of Unteraargletscher, Switzerland, are used to reconstruct the theoretical pattern of basal water drainage for the years 1927, 1947, 1961 and 1997, during which period the glacier was thinning and receding. The theoretical drainage pattern for 1997 compares well, in a broad sense, with the locations of active moulins and the hydraulic connection status of boreholes drilled to the glacier bed. Changes in the basal water-flow pattern over the period 1927-97 that are revealed by the theoretical reconstructions of the subglacial drainage system structure are likely to have resulted from changes in glacier geometry. Concurrent with the retreat and thinning of the glacier, the height of medial moraines increased, probably due to the insulating effect of the debris cover reducing the melt of the underlying ice. This increase of moraine heights has led to the formation of hydraulic barriers at the glacier bed such that water flow has become channelized beneath the ice along drainage axes that parallel the course of the medial moraines on the glacier surface.</t>
  </si>
  <si>
    <t>ETH Zentrum, Hydraul Hydrol &amp; Glaciol Lab, CH-8092 Zurich, Switzerland; Univ British Columbia, Dept Earth &amp; Ocean Sci, Vancouver, BC V6T 1Z4, Canada</t>
  </si>
  <si>
    <t>Swiss Federal Institutes of Technology Domain; ETH Zurich; University of British Columbia</t>
  </si>
  <si>
    <t>Fischer, UH (corresponding author), Antarctic Climate &amp; Ecosyst Cooperat Res Ctr, GPO 252-80, Hobart, Tas 7001, Australia.</t>
  </si>
  <si>
    <t>INT GLACIOLOGICAL SOC</t>
  </si>
  <si>
    <t>LENSFIELD RD, CAMBRIDGE CB2 1ER, ENGLAND</t>
  </si>
  <si>
    <t>0260-3055</t>
  </si>
  <si>
    <t>0-946417-35-0</t>
  </si>
  <si>
    <t>ANN GLACIOL</t>
  </si>
  <si>
    <t>10.3189/172756405781813528</t>
  </si>
  <si>
    <t>BDX18</t>
  </si>
  <si>
    <t>WOS:000235930300004</t>
  </si>
  <si>
    <t>Näslund, JO; Jansson, P; Fastook, JL; Johnson, J; Andersson, L</t>
  </si>
  <si>
    <t>Detailed spatially distributed geothermal heat-flow data for modeling of basal temperatures and meltwater production beneath the Fennoscandian ice sheet</t>
  </si>
  <si>
    <t>Annals of Glaciology-Series</t>
  </si>
  <si>
    <t>FINITE-ELEMENT MODEL; SENSITIVITY; ANTARCTICA; EVOLUTION; NORTHERN; SHIELD; MELT; MAP</t>
  </si>
  <si>
    <t>Accurate modeling of ice sheets requires proper information on boundary conditions, including the geothermal heat flow (or heat-flow density (HFD)). Traditionally, one uniform HFD value is adopted for the entire modeled domain. We have calculated a distributed, high-resolution HFD dataset for an approximate core area (Sweden and Finland) of the Scandinavian ice sheet, and imbedded this within lower-resolution data published for surrounding regions. Within the Last Glacial Maximum ice margin, HFD varies with a factor of as much as 2.8 (HFD values ranging between 30 and 83 mW m(-2)), with an average of 49 mW m(-2). This average value is 17% higher than 42 mW m(-2), a common uniform value used in ice-sheet modeling studies of Fermoscandia. Using this new distributed dataset on HFD, instead of a traditional uniform value of 42 mW m, yields a 1.4 times larger total basal meltwater production for the last glacial cycle. Furthermore, using the new dataset in high-resolution modeling results in increased spatial thermal gradients at the bed. This enhances and introduces new local and regional effects on basal ice temperatures and melt rates. We observed significant strengthening of local 'ice streaming', which in one case correlates to an ice-flow event previously interpreted from geomorphology. Regional to local variations in geothermal heat flow need to be considered for proper identification and treatment of thermal and hydraulic bed conditions, most likely also when studying Laurentide, Greenland and Antarctic ice sheets.</t>
  </si>
  <si>
    <t>Univ Stockholm, Dept Phys Geog &amp; Quaternary Geol, SE-10691 Stockholm, Sweden; Univ Maine, Dept Comp Sci, Orono, ME 04469 USA; Univ Montana, Dept Comp Sci, Missoula, MT 59812 USA; Geol Survey Sweden, SE-22350 Lund, Sweden</t>
  </si>
  <si>
    <t>Stockholm University; University of Maine System; University of Maine Orono; University of Montana System; University of Montana</t>
  </si>
  <si>
    <t>Univ Stockholm, Dept Phys Geog &amp; Quaternary Geol, SE-10691 Stockholm, Sweden.</t>
  </si>
  <si>
    <t>jensove.naslund@natgeo.su.se</t>
  </si>
  <si>
    <t>Näslund, Jens-Ove/J-8200-2013; Jansson, Peter/B-5761-2012</t>
  </si>
  <si>
    <t>Jansson, Peter/0000-0002-8832-8806; Fastook, James/0000-0003-3900-671X; Johnson, Jesse/0000-0002-7387-6500</t>
  </si>
  <si>
    <t>ANN GLACIOL-SER</t>
  </si>
  <si>
    <t>10.3189/172756405781813582</t>
  </si>
  <si>
    <t>WOS:000235930300016</t>
  </si>
  <si>
    <t>Samyn, D; Svensson, A; Fitzsimon, SJ; Lorrain, RD</t>
  </si>
  <si>
    <t>Ice crystal properties of amber ice and strain enhancement at the base of cold Antarctic glaciers</t>
  </si>
  <si>
    <t>GRAIN-GROWTH; POLAR ICE; DEFORMATION; CREEP; SIZE; SUBSTRATE</t>
  </si>
  <si>
    <t>To improve our understanding of the deformation properties of cold-based polar glaciers, we examine here some of the factors leading to the localization of strain within the amber ice facies. We present a crystallographic case study of amber ice (a fine-grained bubbly ice containing a relatively high impurity content) sampled at the base of two Antarctic glaciers. The crystal fabrics and textures of amber ice were computed by application of a recently developed automated method. To date, it was tedious and awkward to determine amber ice facies accurately because of the sub-millimetric crystal size and relatively high debris content of this facies. The authomatic analytical method applied in this study allows not only for improving analytical accuracy in this task but also for considerably reducing the time of analysis. Our investigations reveal highly homogeneous crystallographic properties for the studied amber ice. The ice crystals are mainly polygonal, equant and sub-millimetric, and show a strong lattice-preferred orientation. These properties, beside the relatively high impurity content, are likely to exert a major control on strain enhancement in amber ice when this facies is present at the base of cold glaciers.</t>
  </si>
  <si>
    <t>Free Univ Brussels, Fac Sci, Dept Sci Terre &amp; Environm, B-1050 Brussels, Belgium; Niels Bohr Inst, DK-2100 Copenhagen, Denmark; Univ Otago, Dept Geog, Dunedin, New Zealand</t>
  </si>
  <si>
    <t>Universite Libre de Bruxelles; University of Copenhagen; Niels Bohr Institute; University of Otago</t>
  </si>
  <si>
    <t>Free Univ Brussels, Fac Sci, Dept Sci Terre &amp; Environm, CP 160-03, B-1050 Brussels, Belgium.</t>
  </si>
  <si>
    <t>desamyn@ulb.ac.be</t>
  </si>
  <si>
    <t>Svensson, Anders/A-2643-2010</t>
  </si>
  <si>
    <t>Svensson, Anders/0000-0002-4364-6085</t>
  </si>
  <si>
    <t>10.3189/172756405781813618</t>
  </si>
  <si>
    <t>WOS:000235930300032</t>
  </si>
  <si>
    <t>Kaspari, S; Dixon, DA; Sneed, SB; Handley, MJ</t>
  </si>
  <si>
    <t>Hamilton, G</t>
  </si>
  <si>
    <t>Kaspari, S.; Dixon, D. A.; Sneed, S. B.; Handley, M. J.</t>
  </si>
  <si>
    <t>Sources and transport pathways of marine aerosol species into West Antarctica</t>
  </si>
  <si>
    <t>ANNALS OF GLACIOLOGY, VOL 41 2005</t>
  </si>
  <si>
    <t>28th Symposium of the Scientific-Committee on Antarctic Research</t>
  </si>
  <si>
    <t>JUL 28-29, 2004</t>
  </si>
  <si>
    <t>Bremen, GERMANY</t>
  </si>
  <si>
    <t>SEA-SALT AEROSOL; ICE CORE; SPATIAL VARIABILITY; SOUTHERN OSCILLATION; FROST FLOWERS; SURFACE SNOW; MAJOR IONS; LAW DOME; ACCUMULATION; RECORD</t>
  </si>
  <si>
    <t>Sixteen high-resolution marine aerosol (Na+, SO42-) records from spatially distributed International Trans-Antarctic Scientific Expedition (ITASE) ice cores spanning the last similar to 200 years from the Pine Island-Thwaites and Ross drainage systems and the South Pole are used to examine sources (sea spray and frost flowers) and transport pathways of marine aerosols into West Antarctica. Factors contributing to the amount of marine aerosols transported inland include sea-ice extent, the presence of open-water features (polynyas, leads), wind strength and direction, and the strength and positioning of low-pressure systems. Analysis Of SO42-/Na+ ratios indicates that frost flowers can contribute significantly (40%) to the Na+ budget of Antarctic ice cores. Higher Na+ concentrations in the Ross drainage system may result from greater production of marine aerosols related to frost flowers in the Ross Sea region in association with greater sea-ice extent and larger open-water areas. Significant positive correlations of sea-ice extent and the Na+ time series exist in some regions of West Antarctica. Higher wind speeds in winter and higher Na+ concentrations when sea-level pressure is lower indicate that intensified atmospheric circulation enhances transport and production of marine aerosols.</t>
  </si>
  <si>
    <t>Univ Maine, Climate Change Inst, Bryand Global Sci Ctr 303, Orono, ME 04469 USA; Univ Maine, Dept Earth Sci, Bryand Global Sci Ctr 303, Orono, ME 04469 USA</t>
  </si>
  <si>
    <t>University of Maine System; University of Maine Orono; University of Maine System; University of Maine Orono</t>
  </si>
  <si>
    <t>Kaspari, S (corresponding author), Univ Maine, Climate Change Inst, Bryand Global Sci Ctr 303, Orono, ME 04469 USA.</t>
  </si>
  <si>
    <t>susan.kaspari@maine.edu</t>
  </si>
  <si>
    <t>0-946417-36-9</t>
  </si>
  <si>
    <t>10.3189/172756405781813221</t>
  </si>
  <si>
    <t>BEL72</t>
  </si>
  <si>
    <t>WOS:000238029800001</t>
  </si>
  <si>
    <t>Arcone, SA; Spikes, VB; Hamilton, GS</t>
  </si>
  <si>
    <t>Arcone, Steven A.; Spikes, Vandy B.; Hamilton, Gordon S.</t>
  </si>
  <si>
    <t>Phase structure of radar stratigraphic horizons within Antarctic firn</t>
  </si>
  <si>
    <t>GROUND-PENETRATING RADAR; WEST ANTARCTICA; HIGH-RESOLUTION; POLAR FIRN; ACCUMULATION; ICE; PLATEAU; VARIABILITY; RECORDS; LAYERS</t>
  </si>
  <si>
    <t>We have recorded reflection profiles of firn through large areas of West Antarctica and part of the East Antarctic plateau using 400 MHz short-pulse radar. The locations show accumulation rates that vary from well above to well below the vertical radar resolution. Most reflection horizons have extensive lateral continuity, and are composed of distinctive wavelets with a consistent phase polarity sequence within their successive half-cycles. We modeled these waveforms, and conclude that they arise from thin, double layers of ice over hoar, which is consistent with the standard model of firn stratification. In addition, we conclude that ice/hoar layers are extensive throughout West Antarctica and also present (although more sparsely) beneath the Antarctic Plateau.</t>
  </si>
  <si>
    <t>USA, Cold Reg Res &amp; Engn Lab, Hanover, NH 03755 USA; Earth Sci Agcy, Stateline, NV 89449 USA; Univ Maine, Climate Change Inst, Bryand Global Sci Ctr 303, Orono, ME 04469 USA</t>
  </si>
  <si>
    <t>United States Department of Defense; United States Army; U.S. Army Corps of Engineers; U.S. Army Engineer Research &amp; Development Center (ERDC); Cold Regions Research &amp; Engineering Laboratory (CRREL); University of Maine System; University of Maine Orono</t>
  </si>
  <si>
    <t>Arcone, SA (corresponding author), USA, Cold Reg Res &amp; Engn Lab, 72 Lyme Rd, Hanover, NH 03755 USA.</t>
  </si>
  <si>
    <t>Steven.A.Arcone@erdc.usace.army.mil</t>
  </si>
  <si>
    <t>Hamilton, Gordon S/G-1679-2011</t>
  </si>
  <si>
    <t>10.3189/172756405781813267</t>
  </si>
  <si>
    <t>WOS:000238029800002</t>
  </si>
  <si>
    <t>Gallée, H; Peyaud, V; Goodwin, I</t>
  </si>
  <si>
    <t>Gallee, Hubert; Peyaud, Vincent; Goodwin, Ian</t>
  </si>
  <si>
    <t>Simulation of the net snow accumulation along the Wilkes Land transect, Antarctica, with a regional climate model</t>
  </si>
  <si>
    <t>ANNALS OF GLACIOLOGY, VOL 41, 2005</t>
  </si>
  <si>
    <t>28th Symposium of the Scientific-Committee-on-Antarctic-Research</t>
  </si>
  <si>
    <t>SURFACE MASS-BALANCE; EAST ANTARCTICA; TEMPORAL VARIABILITY; BLOWING SNOW; CLOUD MODEL; ICE; PRECIPITATION; STRATIGRAPHY; SUBLIMATION; CIRCULATION</t>
  </si>
  <si>
    <t>Regional climate modelling in conjunction with accumulation measurements collected on Antarctic traverses of the International Trans-Antarctic Scientific Expedition (ITASE) is presented as a tool for extending the spatial coverage of field measurements. The modelling of part of East Antarctica spanned the 7 year epoch 1980-86 where data covering the same period are available. The agreement between simulation and observation is improved when a parameterization of the snow surface redistribution processes, such as wind erosion, is included in the regional climate model. The modelled spatial distribution of the net snow mass transported in the boundary layer over coastal East Antarctica indicates that this mass is a significant component of the surface mass balance.</t>
  </si>
  <si>
    <t>Univ Grenoble 1, CNRS, Lab Glaciol &amp; Geophys Environm, F-38402 St Martin Dheres, France; Univ Newcastle, Environm Geosci Grp, Sch Environm &amp; Life Sci, Callaghan, NSW 2308, Australia</t>
  </si>
  <si>
    <t>Communaute Universite Grenoble Alpes; Universite Grenoble Alpes (UGA); Centre National de la Recherche Scientifique (CNRS); University of Newcastle</t>
  </si>
  <si>
    <t>Gallée, H (corresponding author), Univ Grenoble 1, CNRS, Lab Glaciol &amp; Geophys Environm, 54 Rue Moliere,BP 96, F-38402 St Martin Dheres, France.</t>
  </si>
  <si>
    <t>gallee@lgge.obs.ujf-grenoble.fr</t>
  </si>
  <si>
    <t>Goodwin, Ian/0000-0001-8682-6409</t>
  </si>
  <si>
    <t>10.3189/172756405781813230</t>
  </si>
  <si>
    <t>WOS:000238029800003</t>
  </si>
  <si>
    <t>Becagli, S; Proposito, M; Benassai, S; Gragnani, R; Magand, O; Traversi, R; Udisti, R</t>
  </si>
  <si>
    <t>Becagli, Silvia; Proposito, Marco; Benassai, Silvia; Gragnani, Roberto; Magand, Olivier; Traversi, Rita; Udisti, Roberto</t>
  </si>
  <si>
    <t>Spatial distribution of biogenic sulphur compounds (MSA, nssSO42-) in the northern Victoria Land-Dome C-Wilkes Land, area, East Antarctica</t>
  </si>
  <si>
    <t>ISOTOPIC SNOW VARIABILITY; DRONNING MAUD LAND; TERRA-NOVA BAY; ICE-CORE; METHANE SULFONATE; MARINE AEROSOL; ITASE TRAVERSE; SEA-SALT; FIRN; CHEMISTRY</t>
  </si>
  <si>
    <t>During the 1992-2002 Antarctic expeditions, in the framework of the International Trans-Antarctic Expedition (ITASE) project, about 600 sites were sampled (superficial snow, snow pits and firn cores) along traverses in the northern Victoria Land-Dome C-Wilkes Land region. The sites were characterized by different geographical (distance from the sea, altitude) and climatological (annual mean accumulation rate, temperature) conditions and were affected by air masses from different marine sectors (Ross Sea, Pacific Ocean). Mean anion and cation contents were calculated at each site, in order to evaluate the spatial distribution of chemical impurities in snow. Here we discuss the distribution of non-sea-salt sulphate (nssSO(4)(2-)) and of methanesulphonic acid (MSA) mainly originating from atmospheric oxidation of biogenic dimethyl sulphide; these compounds play a key role in climate control processes by acting as cloud condensation nuclei. The spatial distribution of nssSO(4)(2-) and MSA is discussed as a function of distance from the sea, altitude and accumulation rate. Depositional fluxes of nssSO(4)(2-) and MSA decrease as a function of distance from the sea, with a higher gradient in the first 200 km step. There is an analogous trend with the site altitude, and the first 1600 m step is relevant in determining the nssSO(4)(2-) and MSA content in snow. The nssSO(4)(2-)/MSA ratio depends on the distance from the sea and the biogenic source strength. At coastal sites, where biogenic inputs are dominant, this ratio is similar to 2. As biogenic input decreases (low MSA content) inland, the ratio increases, indicating the presence of alternative sources of nssSO(4)(2-) (crustal, volcanic background) or advection of low-latitude air masses. By plotting total flux as a function of accumulation rate, dry depositional contributions were evaluated for nssSO(4)(2-) and MSA in the Ross Sea and Pacific Ocean sectors. Non-sea-salt sulphate wet deposition prevails at sites where the accumulation rate (expressed as water equivalent) is higher than 70 kg m(-2) a(-1) (Ross Sea sector) or 370 kg m(-2) a(-1) (Pacific Ocean sector). MSA threshold values in these sectors are respectively 90 and 220 kg m(-2) a(-1).</t>
  </si>
  <si>
    <t>Univ Florence, Dept Chem, I-50019 Florence, Italy; ENEA, Ctr Ric Casaccia, I-00100 Rome, Italy; Univ Grenoble 1, CNRS, Lab Glaciol &amp; Geophys Environm, F-38402 St Martin Dheres, France</t>
  </si>
  <si>
    <t>University of Florence; Italian National Agency New Technical Energy &amp; Sustainable Economics Development; Centre National de la Recherche Scientifique (CNRS); Communaute Universite Grenoble Alpes; Universite Grenoble Alpes (UGA)</t>
  </si>
  <si>
    <t>Becagli, S (corresponding author), Univ Florence, Dept Chem, Via Lastruccia 3, I-50019 Florence, Italy.</t>
  </si>
  <si>
    <t>silvia.becagli@unifi.it</t>
  </si>
  <si>
    <t>Udisti, Roberto/M-7966-2015; Becagli, Silvia/GNW-2665-2022; Traversi, Rita/M-7586-2015</t>
  </si>
  <si>
    <t>Udisti, Roberto/0000-0003-4440-8238; Proposito, Marco/0000-0002-5977-3003; Becagli, Silvia/0000-0003-3633-4849; Traversi, Rita/0000-0002-9790-2195</t>
  </si>
  <si>
    <t>10.3189/172756405781813384</t>
  </si>
  <si>
    <t>WOS:000238029800004</t>
  </si>
  <si>
    <t>Benassai, S; Becagli, S; Gragnani, R; Magand, O; Proposito, M; Fattori, I; Traversi, R; Udisti, R</t>
  </si>
  <si>
    <t>Benassai, Silvia; Becagli, Silvia; Gragnani, Roberto; Magand, Olivier; Proposito, Marco; Fattori, Ilaria; Traversi, Rita; Udisti, Roberto</t>
  </si>
  <si>
    <t>Sea-spray deposition in Antarctic coastal and plateau areas from ITASE traverses</t>
  </si>
  <si>
    <t>NORTHERN VICTORIA-LAND; TERRA-NOVA BAY; ISOTOPIC SNOW VARIABILITY; SALT AEROSOL; DOME-C; EAST ANTARCTICA; FROST FLOWERS; CHEMISTRY; PARTICLES; LAYERS</t>
  </si>
  <si>
    <t>Sea-salt markers (Na+, Mg2+ and Cl-) were analyzed in recent snow collected at more than 600 sites located in coastal and central areas of East Antarctica (northern Victoria Land-Dome C-Wilkes Land), in order to understand the effect of site remoteness, transport efficiency and depositional and post-depositional processes on the spatial distribution of the primary marine aerosol. Firn-core, snow-pit and 1 m integrated superficial snow samples were collected in the framework of the international Trans-Antarctic Scientific Expeditions (ITASE) project during recent Italian Antarctic Campaigns (1992-2002). The sampling sites were mainly distributed along coast-inland traverses (northern Victoria Land-Dome C) and an east-west transect following the 2100 m contour line (Wilkes Land). At each site, the snow ionic composition was determined. Here, we discuss the distribution of sea-spray components (Na+, Mg2+ and Cl-)as a function of distance from the sea, altitude and accumulation rate, in order to discover the pulling-down rate, possible fractionating phenomena and alternative sources moving inland from coastal areas. Sea-spray depositional fluxes decrease as a function of distance from the sea and altitude. A two-order-of-magnitude decrease occurs in the first 200 km from the sea, corresponding to about 2000 m a.s.l. Correlations of Mg2+ and Cl- with Na+ and trends of Mg2+/Na+ and Cl-/Na+ ratios showed that chloride has other sources than sea spray (HCl) and is affected by post-depositional processes. Accumulation rate higher than 80 kg m(-2) a(-1) preserves the chloride record in the snow. Sea-spray atmospheric scavenging is dominated by wet deposition in coastal and inland sites.</t>
  </si>
  <si>
    <t>Benassai, S (corresponding author), Univ Florence, Dept Chem, Via Lastruccia 3, I-50019 Florence, Italy.</t>
  </si>
  <si>
    <t>Becagli, Silvia/GNW-2665-2022; Udisti, Roberto/M-7966-2015; Traversi, Rita/M-7586-2015</t>
  </si>
  <si>
    <t>Udisti, Roberto/0000-0003-4440-8238; Becagli, Silvia/0000-0003-3633-4849; Proposito, Marco/0000-0002-5977-3003; Traversi, Rita/0000-0002-9790-2195</t>
  </si>
  <si>
    <t>10.3189/172756405781813285</t>
  </si>
  <si>
    <t>WOS:000238029800005</t>
  </si>
  <si>
    <t>Eisen, O; Rack, W; Nixdorf, U; Wilhelms, F</t>
  </si>
  <si>
    <t>Eisen, Olaf; Rack, Wolfgang; Nixdorf, Uwe; Wilhelms, Frank</t>
  </si>
  <si>
    <t>Characteristics of accumulation around the EPICA deep-drilling site in Dronning Maud Land, Antarctica</t>
  </si>
  <si>
    <t>GROUND-PENETRATING RADAR; SPATIAL-DISTRIBUTION; INTERNAL LAYERS; EAST ANTARCTICA; ICE-CORE; SNOW; VARIABILITY; RATES; PLATEAU</t>
  </si>
  <si>
    <t>Based on ground-penetrating radar profiles, we analyze area-wide spatial and temporal characteristics of accumulation rate in the vicinity of the EPICA (European Project for Ice Coring in Antarctica) deep-drilling site in Dronning Maud Land, Antarctica (EDML). An area of 1600 km(2) is covered by 500 km of radar profiles, organized in a star-like pattern with eight 20-25 km legs and a 10 km grid with 1-3 km spacing, each pattern being centred on the EDML drilling location. Distributions of density, cumulative mass, age and the electromagnetic wave speed with depth are available from physical ice-core records. Nine,internal reflection horizons are continuously tracked within the upper 110 m of ice over the whole area, yielding a spatial picture of accumulation rate history over &gt; 1000 years. The mean accumulation rate over the last 153 years varies between 50 and 75 kg m(-2) a(-1) over 50 km perpendicular to the ice divide; the spatial average is similar to 61 kg m(-2) a(-1). This general pattern is overlain by small-scale variations of accumulation rate on the order of 10% of the mean. Maximum local gradients in accumulation rate are similar to 2-3 kg m(-2) a(-1) km-', about five times the regional accumulation rate gradient. Comparison of topography and accumulation rate along a 20 km profile in the direction of the mean winds indicates that variations in accumulation rate over short distances are linked to surface undulations. Our results show that advected spatial variations of accumulation rate are on the same order and even exceed temporal changes over the investigated periods. Ice flow and upstream effects therefore might influence accumulation rates reconstructed from the EDML ice core.</t>
  </si>
  <si>
    <t>Eisen, O (corresponding author), ETH Zentrum, ETH, CH-8092 Zurich, Switzerland.</t>
  </si>
  <si>
    <t>oeisen@awi-bremerhaven.de</t>
  </si>
  <si>
    <t>Wilhelms, Frank/KEI-8426-2024; Eisen, Olaf/K-3846-2012; Rack, Wolfgang/U-8898-2017</t>
  </si>
  <si>
    <t>Wilhelms, Frank/0000-0001-7688-3135; Eisen, Olaf/0000-0002-6380-962X; Rack, Wolfgang/0000-0003-2447-377X; Nixdorf, Uwe/0000-0002-6288-4361</t>
  </si>
  <si>
    <t>10.3189/172756405781813276</t>
  </si>
  <si>
    <t>WOS:000238029800006</t>
  </si>
  <si>
    <t>Jacobel, RW; Welch, BC</t>
  </si>
  <si>
    <t>Jacobel, Robert W.; Welch, Brian C.</t>
  </si>
  <si>
    <t>A time marker at 17.5 kyr BP detected throughout West Antarctica</t>
  </si>
  <si>
    <t>SCALE CLIMATE-CHANGE; LAST GLACIAL PERIOD; VOSTOK ICE-CORE; SIPLE DOME; SITE; GREENLAND; SHEET</t>
  </si>
  <si>
    <t>Deep radar soundings as part of the International Trans-Antarctic Scientific Expedition (US-ITASE) traverses in West Antarctica have revealed a bright internal reflector that we have imaged throughout widespread locations across the ice sheet. The layer is seen in traverses emanating from Byrd Station in four directions and has been traced continuously for distances of 535 km toward the Weddell Sea drainage, 500 km toward South Pole, 150 km toward the Executive Committee Range and 160 km toward Kamb Ice Stream (former Ice Stream C). The approximate area encompassed by the layer identified in these studies is 250 000 km(2). If the layer identification can also be extended to Siple Dome where we have additional radar soundings (jacobel and others, 2000), the approximate area covered would increase by 50%. In many locations echo strength from the layer rivals the bed echo in amplitude even though it generally lies at a depth greater than half the ice thickness. At Byrd Station, where the layer depth is 1260 m, an age of similar to 17.5 kyr BP has been assigned based on the Blunier and Brook (2001) chronology. Hammer and others (1997) note that the acidity at this depth is &gt; 20 times the amplitude of any other part of the core. The depiction of this strong and widespread dated isochrone provides a unique time marker for much of the ice in West Antarctica. We apply a layer-tracing technique to infer the depth-time scale at the inland West Antarctic ice sheet divide and use this in a simple model to estimate the average accumulation rate.</t>
  </si>
  <si>
    <t>St Olaf Coll, Dept Phys, Northfield, MN 55057 USA</t>
  </si>
  <si>
    <t>Saint Olaf College</t>
  </si>
  <si>
    <t>Jacobel, RW (corresponding author), St Olaf Coll, Dept Phys, 1500 St Olaf Ave, Northfield, MN 55057 USA.</t>
  </si>
  <si>
    <t>jacobel@stolaf.edu</t>
  </si>
  <si>
    <t>10.3189/172756405781813348</t>
  </si>
  <si>
    <t>WOS:000238029800007</t>
  </si>
  <si>
    <t>Bertler, NAN; Mayewski, PA; Sneed, SB; Naish, TR; Morgenstern, U; Barrett, PJ</t>
  </si>
  <si>
    <t>Bertler, Nancy A. N.; Mayewski, Paul A.; Sneed, Sharon B.; Naish, Tim R.; Morgenstern, Uwe; Barrett, Peter J.</t>
  </si>
  <si>
    <t>Solar forcing recorded by aerosol concentrations in coastal Antarctic glacier ice, McMurdo Dry Valleys</t>
  </si>
  <si>
    <t>Ice-core chemistry data from Victoria Lower Glacier, Antarctica, suggest, at least for the last 50 years, a direct influence of solar activity variations on the McMurdo Dry Valleys (MDV) climate system via controls on air-mass input from two competing environments: the East Antarctic ice sheet and the Ross Sea. During periods of increased solar activity, when total solar irradiance is relatively high, the MDV climate system appears to be dominated by air masses originating from the Ross Sea, leading to higher aerosol deposition. During reduced solar activity, the Antarctic interior seems to be the dominant air-mass source, leading to lower aerosol concentration in the ice-core record. We propose that the sensitivity of the MDV to variations in solar irradiance is caused by strong albedo differences between the ice-free MDV and the ice sheet.</t>
  </si>
  <si>
    <t>Victoria Univ Wellington, Antarctic Res Ctr, Wellington, New Zealand; Univ Maine, Climate Change Inst, Orono, ME 04469 USA; GNS Sci, Lower Hutt, New Zealand</t>
  </si>
  <si>
    <t>Victoria University Wellington; University of Maine System; University of Maine Orono; GNS Science - New Zealand</t>
  </si>
  <si>
    <t>Bertler, NAN (corresponding author), Victoria Univ Wellington, Antarctic Res Ctr, POB 600, Wellington, New Zealand.</t>
  </si>
  <si>
    <t>Nancy.Bertler@vuw.ac.nz</t>
  </si>
  <si>
    <t>Bertler, Nancy A N/F-3967-2011; Mayewski, Paul Andrew/HRD-6969-2023</t>
  </si>
  <si>
    <t>Naish, Tim/0000-0002-1185-9932; Bertler, Nancy/0000-0001-6028-4891</t>
  </si>
  <si>
    <t>10.3189/172756405781813203</t>
  </si>
  <si>
    <t>WOS:000238029800008</t>
  </si>
  <si>
    <t>Rivera, A; Casassa, G; Thomas, R; Rignot, E; Zamora, R; Antúnez, D; Acuña, C; Ordenes, F</t>
  </si>
  <si>
    <t>Rivera, A.; Casassa, G.; Thomas, R.; Rignot, E.; Zamora, R.; Antunez, D.; Acuna, C.; Ordenes, F.</t>
  </si>
  <si>
    <t>Glacier wastage on southern Adelaide Island, Antarctica, and its impact on snow runway operations</t>
  </si>
  <si>
    <t>LARSEN ICE SHELF; MASS-BALANCE; PENINSULA; RETREAT; RADAR</t>
  </si>
  <si>
    <t>The variations and dynamics of the southern edge of Fuchs Ice Piedmont, Adelaide island (67 degrees 45'09'S, 68 degrees 55'04'W), Antarctic Peninsula, are presented. The snow-covered surface of the glacier has been used since the 1960s for landing aeroplanes in support of British, and more recently Chilean, operations at nearby Teniente Carvajal station (formerly known as Adelaide T). In recent years, snow conditions in the runway area have progressively deteriorated, due to increasingly early summer melting. Radio-echo sounding, global positioning system and remotely sensed data have been analyzed for mapping the crevasse and ice velocity fields, as well as the surface and subglacial topography of the area. The results show that the runway area is located on a local ice divide surrounded by crevasses which are appearing on the glacier surface progressively earlier in the summer, presumably due to higher snowmelt and perhaps higher ice velocities, in response to regional atmospheric warming. In the near future, landing operations will be further affected as more crevasses will appear in the runway area if present warming trends persist. This situation affects all coastal areas in the Antarctic Peninsula, hence the need to search for possible new locations of crevasse-free runways at higher elevations.</t>
  </si>
  <si>
    <t>Ctr Estudios Cient, Valdivia, Chile; Univ Chile, Dept Geog, Santiago, Chile; NASA, Wallops Flight Facil, EG&amp;G Serv, Wallops Isl, VA 23337 USA; CALTECH, Jet Prop Lab, Pasadena, CA 91109 USA; Serv Agr &amp; Ganadero, Punta Arenas, Chile</t>
  </si>
  <si>
    <t>Universidad de Chile; National Aeronautics &amp; Space Administration (NASA); NASA Goddard Space Flight Center; Wallops Flight Facility; California Institute of Technology; National Aeronautics &amp; Space Administration (NASA); NASA Jet Propulsion Laboratory (JPL)</t>
  </si>
  <si>
    <t>Rivera, A (corresponding author), Ctr Estudios Cient, Av Arturo Prat 514,Casilla 1469, Valdivia, Chile.</t>
  </si>
  <si>
    <t>arivera@cecs.cl</t>
  </si>
  <si>
    <t>Casassa, Gino/AAX-6142-2020; Rignot, Eric/A-4560-2014</t>
  </si>
  <si>
    <t>Rignot, Eric/0000-0002-3366-0481; Rivera, Andres/0000-0002-2779-4192</t>
  </si>
  <si>
    <t>10.3189/172756405781813401</t>
  </si>
  <si>
    <t>WOS:000238029800009</t>
  </si>
  <si>
    <t>Schneider, DP; Steig, EJ; Van Ommen, T</t>
  </si>
  <si>
    <t>Schneider, David P.; Steig, Eric J.; Van Ommen, Tas</t>
  </si>
  <si>
    <t>High-resolution ice-core stable-isotopic records from Antarctica: towards interannual climate reconstruction</t>
  </si>
  <si>
    <t>SURFACE-TEMPERATURE; EAST ANTARCTICA; WATER ISOTOPES; LAW DOME; IN-SITU; VARIABILITY; DELTA-O-18; GREENLAND; PRECIPITATION; OSCILLATION</t>
  </si>
  <si>
    <t>Ice-core records are a key resource for reconstructing Antarctic climate. However, a number of physical processes preclude the simple interpretation of ice-core properties such as oxygen isotopic ratios in terms of climate variables like temperature or sea-level pressure. We show that well-dated, sub-annually resolved stable-isotopic records from the United States International Trans-Antarctic Scientific Expedition (US-ITASE) traverses and other sources have a high correlation with local seasonal temperature variation. However, this temporal relationship cannot be simply extended to quantitative interannual resolution reconstructions of site temperature. We suggest that a consistent and important target for ice-core calibrations is a composite of annual mean temperature records from Antarctic weather stations, which covaries strongly with the dominant mode (from principal component analysis) of temperature variability in the Antarctic. Significant correlations with this temperature index are found with individual ice-core records, with a composite of the ice cores, and through a multiple linear regression model with the ice cores as predictors. These results imply that isotopic signals, like the instrumental temperature mode itself, have a strong response to large-scale atmospheric circulation variability, which in the Antarctic region is dominated by the Southern Annular Mode.</t>
  </si>
  <si>
    <t>Univ Washington, Dept Earth &amp; Space Sci, Seattle, WA 98195 USA; Univ Tasmania, Dept Environm &amp; Heritage, Australian Antarctic Div, Hobart, Tas 7001, Australia; Univ Tasmania, Antarctic Climate &amp; Ecosyst CRC, Hobart, Tas 7001, Australia</t>
  </si>
  <si>
    <t>University of Washington; University of Washington Seattle; University of Tasmania; Australian Antarctic Division; University of Tasmania</t>
  </si>
  <si>
    <t>Schneider, DP (corresponding author), Univ Washington, Dept Earth &amp; Space Sci, Seattle, WA 98195 USA.</t>
  </si>
  <si>
    <t>schneidd@u.washington.edu</t>
  </si>
  <si>
    <t>Schneider, David/E-2726-2010; van Ommen, Tas/B-5020-2012; /G-9088-2015</t>
  </si>
  <si>
    <t>Schneider, David/0000-0001-5308-1834; van Ommen, Tas/0000-0002-2463-1718; /0000-0002-8191-5549</t>
  </si>
  <si>
    <t>10.3189/172756405781813357</t>
  </si>
  <si>
    <t>WOS:000238029800010</t>
  </si>
  <si>
    <t>Stearns, L; Hamilton, G</t>
  </si>
  <si>
    <t>Stearns, Leigh; Hamilton, Gordon</t>
  </si>
  <si>
    <t>A new velocity map for Byrd Glacier, East Antarctica, from sequential ASTER satellite imagery</t>
  </si>
  <si>
    <t>DIGITAL ELEVATION MODEL; ROSS-ICE-SHELF; MASS-BALANCE; STREAM; FLOW; DEM; EXTRACTION; DISCHARGE; AIRBORNE; TERRAIN</t>
  </si>
  <si>
    <t>New ice-velocity measurements are obtained for the main trunk of Byrd Glacier, East Antarctica, using recently acquired Advanced Spaceborne Thermal Emission and Reflection Radiometer (ASTER) imagery. The velocities are derived from the application of a cross-correlation technique to sequential images acquired in 2000 and 2001. Images were co-registered and ortho-rectified with the aid of a digital elevation model (DEM) generated from ASTER stereo imagery. This paper outlines the process of DEM generation, image co-registration and correction, and the application of the cross-correlation technique to obtain ice velocities. Comparison of the new velocity map with earlier measurements of velocity from 1978 indicates that the glacier has undergone a substantial deceleration between observations. Portions of the glacier flowing at speeds of similar to 850 m a(-1) in 1978/79 were flowing at similar to 650 m a(-1) in 2000/01. The cause of this change in ice dynamics is not known, but the observation shows that East Antarctic outlet glaciers can undergo substantial changes on relatively short timescales.</t>
  </si>
  <si>
    <t>Stearns, L (corresponding author), Univ Maine, Climate Change Inst, Bryand Global Sci Ctr 303, Orono, ME 04469 USA.</t>
  </si>
  <si>
    <t>leigh.stearns@maine.edu</t>
  </si>
  <si>
    <t>Stearns, Leigh/0000-0001-7358-7015</t>
  </si>
  <si>
    <t>10.3189/172756405781813393</t>
  </si>
  <si>
    <t>WOS:000238029800011</t>
  </si>
  <si>
    <t>Steig, EJ; Mayewski, PA; Dixon, DA; Kaspari, SD; Frey, MM; Schneider, DP; Arcone, SA; Hamilton, GS; Spikes, VB; Albert, M; Meese, D; Gow, AJ; Shuman, CA; White, JWC; Sneed, S; Flaherty, J; Wumkes, M</t>
  </si>
  <si>
    <t>Steig, Eric J.; Mayewski, Paul A.; Dixon, Daniel A.; Kaspari, Susan D.; Frey, Markus M.; Schneider, David P.; Arcone, Steven A.; Hamilton, Gordon S.; Spikes, V. Blue; Albert, Mary; Meese, Deb; Gow, Anthony J.; Shuman, Christopher A.; White, James W. C.; Sneed, Sharon; Flaherty, Joseph; Wumkes, Mark</t>
  </si>
  <si>
    <t>High-resolution ice cores from USITASE (West Antarctica): development and validation of chronologies and determination of precision and accuracy</t>
  </si>
  <si>
    <t>CLIMATE VARIABILITY; SOUTH-POLE; BRIGHTNESS TEMPERATURES; TEMPORAL VARIABILITY; CENTRAL GREENLAND; AIR-TEMPERATURE; PART I; FIRN; RECORD; ACCUMULATION</t>
  </si>
  <si>
    <t>Shallow ice cores were obtained from widely distributed sites across the West Antarctic ice sheet, as part of the United States portion of the International Trans-Antarctic Scientific Expedition (US ITASE) program. The US ITASE cores have been dated by annual-layer counting, primarily through the identification of summer peaks in non-sea-salt sulfate (nssSO(4)(2-)) concentration. Absolute dating accuracy of better than 2 years and relative dating accuracy better than 1 year is demonstrated by the identification of multiple volcanic marker horizons in each of the cores, Tambora, Indonesia (1815), being the most prominent. Independent validation is provided by the tracing of isochronal layers from site to site using high-frequency ice-penetrating radar observations, and by the timing of mid-winter warming events in stable-isotope ratios, which demonstrate significantly better than 1 year accuracy in the last 20 years. Dating precision to 1 month is demonstrated by the occurrence of summer nitrate peaks and stable-isotope ratios in phase with nssSO(4)(2-), and winter-time sea-salt peaks out of phase, with phase variation of &lt; 1 month. Dating precision and accuracy are uniform with depth, for at least the last 100 years.</t>
  </si>
  <si>
    <t>Univ Washington, Dept Earth &amp; Space Sci, Seattle, WA 98195 USA; Univ Maine, Climate Change Inst, Bryand Global Sci Ctr 303, Orono, ME 04469 USA; Univ Arizona, Dept Hydrol &amp; Water Resources, Tucson, AZ 85271 USA; USA, Cold Reg Res &amp; Engn Lab, Hanover, NH 03755 USA; NASA, Goddard Space Flight Ctr, Greenbelt, MD 20771 USA; Univ Colorado, Inst Arctic &amp; Apline Res, Boulder, CO 80309 USA; Glacier Data, Fairbanks, AK 99712 USA</t>
  </si>
  <si>
    <t>University of Washington; University of Washington Seattle; University of Maine System; University of Maine Orono; University of Arizona; United States Department of Defense; United States Army; U.S. Army Corps of Engineers; U.S. Army Engineer Research &amp; Development Center (ERDC); Cold Regions Research &amp; Engineering Laboratory (CRREL); National Aeronautics &amp; Space Administration (NASA); NASA Goddard Space Flight Center; University of Colorado System; University of Colorado Boulder</t>
  </si>
  <si>
    <t>Steig, EJ (corresponding author), Univ Washington, Dept Earth &amp; Space Sci, Box 351310, Seattle, WA 98195 USA.</t>
  </si>
  <si>
    <t>steig@ess.washington.edu</t>
  </si>
  <si>
    <t>Frey, Markus/G-1756-2012; White, James W.C./A-7845-2009; Mayewski, Paul Andrew/HRD-6969-2023; Hamilton, Gordon S/G-1679-2011; Schneider, David/E-2726-2010; /G-9088-2015</t>
  </si>
  <si>
    <t>Frey, Markus/0000-0003-0535-0416; Schneider, David/0000-0001-5308-1834; /0000-0002-8191-5549</t>
  </si>
  <si>
    <t>10.3189/172756405781813311</t>
  </si>
  <si>
    <t>WOS:000238029800012</t>
  </si>
  <si>
    <t>Turner, J; Lachlan-Cope, T; Colwell, S; Marshall, GJ</t>
  </si>
  <si>
    <t>Turner, John; Lachlan-Cope, Tom; Colwell, Steve; Marshall, Gareth J.</t>
  </si>
  <si>
    <t>A positive trend in western Antarctic Peninsula precipitation over the last 50 years reflecting regional and Antarctic-wide atmospheric circulation changes</t>
  </si>
  <si>
    <t>SOUTHERN-HEMISPHERE; REANALYSIS PROJECT; VARIABILITY; ACCUMULATION</t>
  </si>
  <si>
    <t>In situ observations of precipitation days (days when snow or rain was reported in routine synoptic observations) from Faraday/Vernadsky station on the western side of the Antarctic Peninsula, and fields from the 40 year European Centre for Medium-Range Weather Forecasts re-analysis (ERA-40) project are used to investigate precipitation and atmospheric circulation changes around the Antarctic Peninsula. It is shown that the number of precipitation days is a good proxy for mean sea-level pressure (MSLP) over the Amundsen-Bellingshausen Sea. The annual total of precipitation days at the station has been increasing at a statistically significant rate of +12.4 days decade(-1) since the early 1950s, with the greatest increase taking place during the summer and autumn. This is the time of year when the Southern Annular Mode (SAM) has experienced its greatest shift to a positive phase, with MSLP values decreasing in the Antarctic coastal zone. The lower pressures in the circumpolar trough have resulted in greater ascent and increased precipitation at Faraday/Vernadsky.</t>
  </si>
  <si>
    <t>Turner, J (corresponding author), British Antarctic Survey, NERC, Madingley Rd, Cambridge CB3 0ET, England.</t>
  </si>
  <si>
    <t>j.turner@bas.ac.uk</t>
  </si>
  <si>
    <t>Turner, John/0000-0002-6111-5122</t>
  </si>
  <si>
    <t>Natural Environment Research Council [bas010003] Funding Source: researchfish; NERC [bas010003] Funding Source: UKRI</t>
  </si>
  <si>
    <t>10.3189/172756405781813177</t>
  </si>
  <si>
    <t>WOS:000238029800013</t>
  </si>
  <si>
    <t>Welch, BC; Jacobel, RW</t>
  </si>
  <si>
    <t>Welch, Brian C.; Jacobel, Robert W.</t>
  </si>
  <si>
    <t>Bedrock topography and wind erosion sites in East Antarctica: observations from the 2002 US-ITASE traverse</t>
  </si>
  <si>
    <t>DIGITAL ELEVATION MODEL; PLATEAU</t>
  </si>
  <si>
    <t>Ice stratigraphy from deep-penetrating radar data collected during the 2002 US International Trans-Antarctic Scientific Expedition (US-ITASE) traverse shows evidence of a significant erosion surface and drift-filled basin related to a previously undiscovered 1400 m subglacial mountain between Hercules Dome (87 degrees 42'S, 108 degrees W) and South Pole. The 3 MHz radar profile crosses three subglacial mountains at approximately 45 degrees to the ice-flow direction. Cross-cutting reflectors in the top 500 m of ice stratigraphy are interpreted as angular unconformities resulting from wind erosion as the ice deforms over the mountain tops. The unconformities correlate locally with zones of high RADARSAT reflectivity. Several nearby sites with similar relatively high RADARSAT reflectivity adjacent to the traverse indicate that active wind erosion may be taking place at these locations as well. Based on the local correlation between surface wind scour and subglacial topography, we interpret the nearby cluster of bright RADARSAT reflectivity to indicate the presence of a small range of subglacial mountains. The ability to trace isochronal stratigraphy, associated with scour sites using shallow and deep radar, to nearby dated ice cores presents the possibility of exploiting wind-scour zones to access well-dated older ice with shallow-coring equipment.</t>
  </si>
  <si>
    <t>Welch, BC (corresponding author), St Olaf Coll, Dept Phys, 1500 St Olaf Ave, Northfield, MN 55057 USA.</t>
  </si>
  <si>
    <t>welchb@stolaf.edu</t>
  </si>
  <si>
    <t>10.3189/172756405781813258</t>
  </si>
  <si>
    <t>WOS:000238029800014</t>
  </si>
  <si>
    <t>Van de Berg, WJ; Van den Broeke, MR; Reijmer, CH; Van Meijgaard, E</t>
  </si>
  <si>
    <t>Van De Berg, W. J.; Van den Broeke, M. R.; Reijmer, C. H.; Van Meijgaard, E.</t>
  </si>
  <si>
    <t>Characteristics of the Antarctic surface mass balance, 1958-2002, using a regional atmospheric climate model</t>
  </si>
  <si>
    <t>TEMPORAL VARIABILITY; PRECIPITATION; SNOW; TEMPERATURES; ACCUMULATION; SUBLIMATION; PENINSULA; TRENDS</t>
  </si>
  <si>
    <t>Temporal and spatial characteristics of the Antarctic specific surface mass balance (SSMB) are presented, including its components solid precipitation, sublimation/deposition and melt. For this purpose, we use the output of a regional atmospheric climate model (RACMO2/ANT, horizontal resolution of similar to 55 km) for the period 1958-2002. RACMO2/ANT uses European Centre for Medium-Range Weather Forecasts (ECMWF) 40 year re-analysis (ERA-40) fields as forcing at the lateral boundaries. RACMO2/ANT underestimates SSMB in the high interior of East and West Antarctica and overestimates SSMB on the steep coastal slopes. Otherwise, the modeled spatial pattern of SSMB is in good qualitative agreement with recent compilations of in situ observations. Large-scale patterns, like the precipitation shadow effect of the Antarctic Peninsula, are well reproduced, and mesoscale SSMB patterns, such as the strong precipitation gradients on Law Dome, are well represented in the model. The integrated SSMB over the grounded ice sheet is 153 mm w.e.a(-1) for the period 1958-2002, which agrees within 5% with the latest measurement compilations. Sublimation and melt remove 7% and &lt; 1% respectively of the solid precipitation. We found significant seasonality of solid precipitation, with a maximum in autumn and a minimum in summer. No meaningful trend was identified for the SSMB, because the time series of solid precipitation and SSMB are affected by an inhomogeneity in 1980 within the ERA-40 fields that drive RACMO2/ANT. Sublimation, melt and liquid precipitation increase in time, which is related to a modeled increase in 2 m temperature.</t>
  </si>
  <si>
    <t>Univ Utrecht, Inst Marine &amp; Atmospher Res Utrecht, NL-3584 CC Utrecht, Netherlands; Royal Netherlands Meteorol Inst, NL-3730 AE De Bilt, Netherlands</t>
  </si>
  <si>
    <t>Van de Berg, WJ (corresponding author), Univ Utrecht, Inst Marine &amp; Atmospher Res Utrecht, POB 80-005,Princetonpl 5, NL-3584 CC Utrecht, Netherlands.</t>
  </si>
  <si>
    <t>w.j.vandeberg@phys.uu.nl</t>
  </si>
  <si>
    <t>van de Berg, Willem Jan/H-4385-2011; Reijmer, Carleen H/G-8736-2011; Van den Broeke, Michiel R./F-7867-2011</t>
  </si>
  <si>
    <t>van de Berg, Willem Jan/0000-0002-8232-2040; Reijmer, Carleen H/0000-0001-8299-3883; Van den Broeke, Michiel R./0000-0003-4662-7565</t>
  </si>
  <si>
    <t>10.3189/172756405781813302</t>
  </si>
  <si>
    <t>WOS:000238029800015</t>
  </si>
  <si>
    <t>Hamilton, GS; Spikes, VB; Stearns, LA</t>
  </si>
  <si>
    <t>Hamilton, Gordon S.; Spikes, V. Blue; Stearns, Leigh A.</t>
  </si>
  <si>
    <t>Spatial patterns in mass balance of the Siple Coast and Amundsen Sea sectors, West Antarctica</t>
  </si>
  <si>
    <t>WHILLANS ICE STREAM; POINT MEASUREMENTS; ACCUMULATION-RATE; THICKNESS CHANGE; SHEET; GPS; VARIABILITY; GLACIER; FLOW</t>
  </si>
  <si>
    <t>Local rates of change in ice-sheet thickness were calculated at IS sites in West Antarctica using the submergence velocity technique. This method entails a comparison of the vertical velocity of the ice sheet, measured using repeat global positioning system surveys of markers, and local long-term rates of snow accumulation obtained using firn-core stratigraphy. Any significant difference between these two quantities represents a thickness change with time. Measurements were conducted at sites located similar to 100-200 km apart along US ITASE traverse routes, and at several isolated locations. All but one of the sites are distributed in the Siple Coast and the Amundsen Sea basin along contours of constant elevation, along flowlines, across ice divides and close to regions of enhanced flow. Calculated rates of thickness change are different from site to site. Most of the large rates of change in ice thickness (similar to 10 cm a(-1) or larger) are observed in or close to regions of rapid flow, and are probably related to ice-dynamics effects. Near-steady-state conditions are calculated mostly at sites in the slow-moving ice-sheet interior and near the main West Antarctic ice divide. These results are consistent with regional estimates of ice-sheet change derived from remote-sensing measurements at similar locations in West Antarctica.</t>
  </si>
  <si>
    <t>Univ Maine, Climate Change Inst, Bryand Global Sci Ctr 303, Orono, ME 04469 USA</t>
  </si>
  <si>
    <t>University of Maine System; University of Maine Orono</t>
  </si>
  <si>
    <t>Hamilton, GS (corresponding author), Univ Maine, Climate Change Inst, Bryand Global Sci Ctr 303, Orono, ME 04469 USA.</t>
  </si>
  <si>
    <t>gordon.hamilton@maine.edu</t>
  </si>
  <si>
    <t>10.3189/172756405781813195</t>
  </si>
  <si>
    <t>WOS:000238029800016</t>
  </si>
  <si>
    <t>Lange, MA; Blindow, N; Breuer, B; Grosfeld, K; Kleiner, T; Mohrholz, CO; Nicolaus, M; Oelke, C; Sandhäger, H; Thoma, M</t>
  </si>
  <si>
    <t>Lange, M. A.; Blindow, N.; Breuer, B.; Grosfeld, K.; Kleiner, T.; Mohrholz, C. -O.; Nicolaus, M.; Oelke, C.; Sandhaeger, H.; Thoma, M.</t>
  </si>
  <si>
    <t>Numerical model studies of Antarctic ice-sheet-ice-shelf-ocean systems and ice caps</t>
  </si>
  <si>
    <t>MASS-BALANCE; WEDDELL SEA; CIRCULATION; EQUATION; WATER; THICKNESS; FLOW</t>
  </si>
  <si>
    <t>The cryosphere is an essential component of the global climate system, equally affecting climate processes significantly and being subject, and particularly sensitive, to changes in climate conditions. Numerical models are an important tool for assessing climate-change impacts on the Antarctic ice-sheet-ice-shelf-ocean system. They not only complement field and satellite remote-sensing investigations but are often the only feasible alternative for addressing some of the important parameters and processes. Over the last few years, our group has made significant progress in developing and applying innovative numerical methods. In this paper, we provide a brief overview of some of the methods employed and the major results obtained for a number of case studies in the Atlantic sector of Antarctica.</t>
  </si>
  <si>
    <t>Univ Munster, Inst Geophys, D-48149 Munster, Germany; Univ Bremen, Dept Geosci, Ctr Marine &amp; Environm Sci MARUM, D-28334 Bremen, Germany; Alfred Wegener Inst Polar &amp; Marine Res, D-27515 Bremerhaven, Germany</t>
  </si>
  <si>
    <t>University of Munster; University of Bremen; Helmholtz Association; Alfred Wegener Institute, Helmholtz Centre for Polar &amp; Marine Research</t>
  </si>
  <si>
    <t>Lange, MA (corresponding author), Univ Munster, Inst Geophys, Corrensstr 24, D-48149 Munster, Germany.</t>
  </si>
  <si>
    <t>langema@uni-muenster.de</t>
  </si>
  <si>
    <t>Nicolaus, Marcel/A-3658-2013; Kleiner, Thomas/F-6821-2015</t>
  </si>
  <si>
    <t>Nicolaus, Marcel/0000-0003-0903-1746; Kleiner, Thomas/0000-0001-7825-5765; Grosfeld, Klaus/0000-0001-5936-179X; Thoma, Malte/0000-0002-4033-3905</t>
  </si>
  <si>
    <t>10.3189/172756405781813186</t>
  </si>
  <si>
    <t>WOS:000238029800017</t>
  </si>
  <si>
    <t>Yan, YP; Mayewski, PA; Kang, SC; Meyerson, E</t>
  </si>
  <si>
    <t>Yan, Yuping; Mayewski, Paul A.; Kang, Shichang; Meyerson, Eric</t>
  </si>
  <si>
    <t>An ice-core proxy for Antarctic circumpolar zonal wind intensity</t>
  </si>
  <si>
    <t>HEMISPHERE ATMOSPHERIC CIRCULATION; OPERATIONAL NUMERICAL-ANALYSES; SOUTHERN-HEMISPHERE; EL-NINO; NORTHERN-HEMISPHERE; SPATIAL VARIABILITY; EAST ANTARCTICA; SURFACE SNOW; CLIMATE; GREENLAND</t>
  </si>
  <si>
    <t>Using US National Centers for Environmental Prediction/US National Center for Atmospheric Research re-analysis data, we investigate the relationships between crustal ion (nssCa(2+)) concentrations from three West Antarctic ice cores, namely, Siple Dome (SD), ITASE00-1 (IT001) and ITASE01-5 (IT015), and primary components of the climate system, namely, air pressure/geopotential height, zonal (u) and meridional (v) wind strength. Linear correlation analyses between nssCa(2+) concentrations and both air-pressure and wind fields for the period of overlap between records indicate that the SD nssCa(2+) variation is positively correlated with spring circumpolar zonal wind, while IT001 nssCa(2+) has a positive correlation with circumpolar zonal wind throughout the year (r &gt; 0.3, p &lt; 0.01). Intensified Southern Westerlies circulation is conducive to transport of more crustal aerosols to both sites. Further correlation analyses between nssCa(2+) concentrations from SD and IT001 and atmospheric circulation suggest that the high inland plateau (represented by core IT001) is largely influenced by transport from the upper troposphere. IT015 nssCa(2+) is negatively correlated with westerly wind in October and November, suggesting that stronger westerly circulation may weaken the transport of crustal species to IT015. Correlations of nssCa(2+) from the three ice cores with the Antarctic Oscillation index are consistent with results developed from the wind-field investigation. In addition, calibration between nssCa(2+) concentration and the multivariate El Nino-Southern Oscillation (ENSO) index shows that crustal species transport to IT001 is enhanced during strong ENSO events.</t>
  </si>
  <si>
    <t>Univ Maine, Climate Change Inst, Bryand Global Sci Ctr 303, Orono, ME 04469 USA; China Meteorol Adm, Natl Climate Ctr, Beijing 10081, Peoples R China; Univ Maine, Dept Earth Sci, Bryand Global Sci Ctr 5790, Orono, ME 04469 USA; Chinese Acad Sci, Inst Tibetan Plateau Res, Beijing 100085, Peoples R China</t>
  </si>
  <si>
    <t>University of Maine System; University of Maine Orono; China Meteorological Administration; University of Maine System; University of Maine Orono; Chinese Academy of Sciences; Institute of Tibetan Plateau Research, CAS</t>
  </si>
  <si>
    <t>Yan, YP (corresponding author), Univ Maine, Climate Change Inst, Bryand Global Sci Ctr 303, Orono, ME 04469 USA.</t>
  </si>
  <si>
    <t>yyan@maine.edu</t>
  </si>
  <si>
    <t>Mayewski, Paul Andrew/HRD-6969-2023; Kang, Shichang/I-6830-2018</t>
  </si>
  <si>
    <t>Kang, Shichang/0000-0003-2115-9005</t>
  </si>
  <si>
    <t>10.3189/172756405781813294</t>
  </si>
  <si>
    <t>WOS:000238029800018</t>
  </si>
  <si>
    <t>Van den Broeke, M; Reijmer, C; Van As, D; De Wal, RV; Oerlemans, J</t>
  </si>
  <si>
    <t>Van den Broeke, Michiel; Reijmer, Carleen; Van As, Dirk; De Wal, Roderik Van; Oerlemans, J.</t>
  </si>
  <si>
    <t>Seasonal cycles of Antarctic surface energy balance from automatic weather stations</t>
  </si>
  <si>
    <t>DRONNING MAUD LAND; BLUE ICE; SCALAR ROUGHNESS; EAST ANTARCTICA; HEAT-BALANCE; MASS-BALANCE; SNOW; VARIABILITY; LAYER; PLATEAU</t>
  </si>
  <si>
    <t>We present the seasonal cycle of the Antarctic surface energy balance (SEB) using 4 years (1998-2001) of automatic weather station (AWS) data. The four AWSs are situated on an ice shelf, in the coastal and inland katabatic wind zone and the interior plateau of Dronning Maud Land. To calculate surface temperature we use a SEB closure assumption for a surface skin layer. Modelled and observed surface have a root-mean-square difference of 1.8 K at the plateau AWS (corresponding to an uncertainty in the SEB of 5 W m(-2)) and &lt; 1 K (3 W m(-2)) at the other sites. The effect of wind-speed sensor freezing on the calculated SEB is discussed. At all sites the annual mean net radiation is negative and the near-surface air is on average stably stratified. Differences in the seasonal cycle of the SEB are mainly caused by the different wind climates at the AWS sites. In the katabatic wind zone, a combination of clear skies and strong winds forces a large wintertime turbulent transport of sensible heat towards the surface, which in turn enhances the longwave radiative heat loss. On the coastal ice shelf and on the plateau, strong winds are associated with overcast conditions, limiting the radiative heat loss and sensible heat exchange. During the short Antarctic summer, the net radiation becomes slightly positive at all sites. Away from the cold interior, the main compensating heat loss at the surface is sublimation. In the interior, summer temperatures are too low to allow significant sublimation to occur; here, surface heat loss is mainly due to convection.</t>
  </si>
  <si>
    <t>Van den Broeke, M (corresponding author), Univ Utrecht, Inst Marine &amp; Atmospher Res Utrecht, POB 80005,Princetonpl 5, NL-3508 TA Utrecht, Netherlands.</t>
  </si>
  <si>
    <t>Van den Broeke, Michiel R./F-7867-2011; Reijmer, Carleen H/G-8736-2011; van de wal, roderik/D-1705-2011; Oerlemans, Johannes/G-3802-2011</t>
  </si>
  <si>
    <t>Van den Broeke, Michiel R./0000-0003-4662-7565; Reijmer, Carleen H/0000-0001-8299-3883; van de wal, roderik/0000-0003-2543-3892; van As, Dirk/0000-0002-6553-8982</t>
  </si>
  <si>
    <t>10.3189/172756405781813168</t>
  </si>
  <si>
    <t>WOS:000238029800019</t>
  </si>
  <si>
    <t>Patterson, NG; Bertler, NAN; Naish, TR; Morgenstern, U</t>
  </si>
  <si>
    <t>Patterson, N. G.; Bertler, N. A. N.; Naish, T. R.; Morgenstern, U.</t>
  </si>
  <si>
    <t>ENSO variability in the deuterium-excess record of a coastal Antarctic ice core from the McMurdo Dry Valleys, Victoria Land</t>
  </si>
  <si>
    <t>NINO-SOUTHERN OSCILLATION; GENERAL-CIRCULATION MODEL; UNEVENLY SPACED DATA; TIME-SERIES ANALYSIS; SPECTRAL-ANALYSIS; STABLE ISOTOPES; SEA REGION; PRECIPITATION; HEMISPHERE; SNOW</t>
  </si>
  <si>
    <t>The El Nino-Southern Oscillation (ENSO) signal in coastal Antarctic precipitation is evaluated using deuterium-excess data measured from an ice core located at Victoria Lower Glacier (VLG) Dome, McMurdo Dry Valleys. Recent studies suggest that interannual variations in the intensity and position of the Amundsen Sea low, a low-pressure centre that controls moisture flux in the West Antarctic sector, is modulated by the ENSO. Deuterium-excess values from the VLG ice core, which serve as a proxy for changes in regional moisture flux, exhibit oscillations of equivalent duration to those observed in the Southern Oscillation Index (SOI). Results of cross-spectral analyses show that temporal fluctuations in deuterium excess and the SOI covary and are coherent at similar to 4.9, 3.6, 3.0, 2.6, 2.4 and 2.0 year frequencies between 1950 and 2000. We ascribe this covariance to shifts in the source and transport pathway of precipitation that is deposited in coastal Victoria Land as a consequence of ENSO's influence. High values of deuterium excess are consistent with increased meridional flow carrying warm, moist air southward across the Ross Sea when the low-pressure centre is positioned to the north of the Ross Ice Shelf (La Nina mode). Low deuterium-excess values, which reflect a more westerly to southerly flow across the West Antarctic ice sheet and Ross ice Shelf leading to cooler and drier en-route conditions, occur when the low-pressure centre is positioned above the Amundsen Sea (El Nino mode).</t>
  </si>
  <si>
    <t>Victoria Univ Wellington, Antarctic Res Ctr, Wellington, New Zealand; Inst Geol &amp; Nucl Sci Ltd, Lower Hutt, New Zealand</t>
  </si>
  <si>
    <t>Victoria University Wellington; GNS Science - New Zealand</t>
  </si>
  <si>
    <t>Patterson, NG (corresponding author), Victoria Univ Wellington, Antarctic Res Ctr, POB 600, Wellington, New Zealand.</t>
  </si>
  <si>
    <t>n.patterson@gns.cri.nz</t>
  </si>
  <si>
    <t>Bertler, Nancy A N/F-3967-2011</t>
  </si>
  <si>
    <t>10.3189/172756405781813339</t>
  </si>
  <si>
    <t>WOS:000238029800020</t>
  </si>
  <si>
    <t>Mayewski, PA; Maasch, KA; Yan, YP; Kang, SC; Meyerson, EA; Sneed, SB; Kaspari, SD; Dixon, DA; Osterberg, EC; Morgan, VI; Van Ommen, T; Curran, MAJ</t>
  </si>
  <si>
    <t>Mayewski, Paul Andrew; Maasch, Kirk A.; Yan, Yuping; Kang, Shichang; Meyerson, Eric A.; Sneed, Sharon B.; Kaspari, Susan D.; Dixon, Daniel A.; Osterberg, Erich C.; Morgan, Vin I.; Van Ommen, Tas; Curran, Mark A. J.</t>
  </si>
  <si>
    <t>Solar forcing of the polar atmosphere</t>
  </si>
  <si>
    <t>NORTHERN-HEMISPHERE; ICE-CORE; SPATIAL VARIABILITY; EAST ANTARCTICA; LAW DOME; CYCLE; CIRCULATION; CLIMATE; OZONE; QBO</t>
  </si>
  <si>
    <t>We present highly resolved, annually dated, calibrated proxies for atmospheric circulation from several Antarctic ice cores (ITASE (International Trans-Antarctic Scientific Expedition), Siple Dome, Law Dome) that reveal decadal-scale associations with a South Pole ice-core Be-10 proxy for solar variability over the last 600 years and annual-scale associations with solar variability since AD 1720. We show that increased (decreased) solar irradiance is associated with increased (decreased) zonal wind strength near the edge of the Antarctic polar vortex. The association is particularly strong in the Indian and Pacific Oceans and as such may contribute to understanding climate forcing that controls drought in Australia and other Southern Hemisphere climate events. We also include evidence suggestive of solar forcing of atmospheric circulation near the edge of the Arctic polar vortex based on ice-core records from Mount Logan, Yukon Territory, Canada, and both central and south Greenland as enticement for future investigations. Our identification of solar forcing of the polar atmosphere and its impact on lower latitudes offers a mechanism for better understanding modern climate variability and potentially the initiation of abrupt climate-change events that operate on decadal and faster scales.</t>
  </si>
  <si>
    <t>Univ Maine, Climate Change Inst, Bryand Global Sci Ctr 303, Orono, ME 04469 USA; Univ Maine, Dept Earth Sci, Bryand Global Sci Ctr 303, Orono, ME 04469 USA; China Meteorol Adm, Beijing 100081, Peoples R China; Chinese Acad Sci, Inst Tibetan Plateau Res, Beijing 100085, Peoples R China; Dept Environm &amp; Heritage, Australian Antarctic Div, Hobart, Tas 7001, Australia; Antarctic Climate &amp; Ecosyst CRC, Hobart, Tas 7001, Australia</t>
  </si>
  <si>
    <t>University of Maine System; University of Maine Orono; University of Maine System; University of Maine Orono; China Meteorological Administration; Chinese Academy of Sciences; Institute of Tibetan Plateau Research, CAS; Australian Antarctic Division; University of Tasmania</t>
  </si>
  <si>
    <t>Mayewski, PA (corresponding author), Univ Maine, Climate Change Inst, Bryand Global Sci Ctr 303, Orono, ME 04469 USA.</t>
  </si>
  <si>
    <t>paul.mayewski@maine.edu</t>
  </si>
  <si>
    <t>Maasch, Kirk/JMQ-8426-2023; Mayewski, Paul Andrew/HRD-6969-2023; Kang, Shichang/I-6830-2018; van Ommen, Tas/B-5020-2012</t>
  </si>
  <si>
    <t>Maasch, Kirk Allen/0000-0002-8658-8030; Kang, Shichang/0000-0003-2115-9005; van Ommen, Tas/0000-0002-2463-1718; Osterberg, Erich/0000-0002-0675-1230</t>
  </si>
  <si>
    <t>10.3189/172756405781813375</t>
  </si>
  <si>
    <t>WOS:000238029800021</t>
  </si>
  <si>
    <t>Dixon, D; Mayewski, PA; Kaspari, S; Kreutz, K; Hamilton, G; Maasch, K; Sneed, SB; Handley, MJ</t>
  </si>
  <si>
    <t>Dixon, Daniel; Mayewski, Paul A.; Kaspari, Susan; Kreutz, Karl; Hamilton, Gordon; Maasch, Kirk; Sneed, Sharon B.; Handley, Michael J.</t>
  </si>
  <si>
    <t>A 200 year sulfate record from 16 Antarctic ice cores and associations with Southern Ocean sea-ice extent</t>
  </si>
  <si>
    <t>WEST ANTARCTICA; ATMOSPHERIC CIRCULATION; METHANESULFONIC-ACID; SPATIAL VARIABILITY; CLIMATE VARIABILITY; SNOW CHEMISTRY; FROST FLOWERS; SALT AEROSOL; POLE; ACCUMULATION</t>
  </si>
  <si>
    <t>Chemistry data from 16, 50-115 m deep, sub-annually dated ice cores are used to investigate spatial and temporal concentration variability of sea-salt (ss) SO42- and excess (xs) SO42- over West Antarctica and the South Pole for the last 200 years. Low-elevation ice-core sites in western West Antarctica contain higher concentrations Of SO42- as a result of cyclogenesis over the Ross Ice Shelf and proximity to the Ross Sea Polynya. Linear correlation analysis of 15 West Antarctic ice-core SO42- time series demonstrates that at several sites concentrations Of ssSO(4)(2-) are higher when sea-ice (SIE) extent is greater, and the inverse for XSS04. Concentrations Of XSS04 from the South Pole site (East Antarctica) are associated with SIE from the Weddell region, and West Antarctic XSSO42- concentrations are associated with SIE from the Bellingshausen-Amundsen-Ross region. The only notable rise of the last 200 years in xsSO(4)(2-), around 1940, is not related to SIE fluctuations and is most likely a result of increased xsSO(4)(2-) production in the mid-low latitudes and/or an increase in transport efficiency from the mid-low latitudes to central West Antarctica. These high-resolution records show that the source types and source areas Of ssSO(4)(2-) and xsSO(4)(2-) delivered to eastern and western West Antarctica and the South Pole differ from site to site but can best be resolved using records from spatial ice-core arrays such as the International Trans-Antarctic Scientific Expedition (ITASE).</t>
  </si>
  <si>
    <t>Univ Maine, Climate Change Inst, Dept Earth Sci, Bryand Global Sci Ctr 303, Orono, ME 04469 USA</t>
  </si>
  <si>
    <t>Dixon, D (corresponding author), Univ Maine, Climate Change Inst, Dept Earth Sci, Bryand Global Sci Ctr 303, Orono, ME 04469 USA.</t>
  </si>
  <si>
    <t>daniel.dixon@maine.edu</t>
  </si>
  <si>
    <t>Maasch, Kirk/JMQ-8426-2023; Hamilton, Gordon S/G-1679-2011; Mayewski, Paul Andrew/HRD-6969-2023</t>
  </si>
  <si>
    <t>Maasch, Kirk Allen/0000-0002-8658-8030</t>
  </si>
  <si>
    <t>10.3189/172756405781813366</t>
  </si>
  <si>
    <t>WOS:000238029800022</t>
  </si>
  <si>
    <t>Bertler, N; Mayewski, PA; Aristarain, A; Barrett, P; Becagli, S; Bernardo, R; Bo, S; Xiao, C; Curran, M; Qin, D; Dixon, D; Ferron, F; Fischer, H; Frey, M; Frezzotti, M; Fundel, F; Genthon, C; Gragnani, R; Hamilton, G; Handley, M; Hong, S; Isaksson, E; Kang, J; Ren, J; Kamiyama, K; Kanamori, S; Kärkäs, E; Karlöf, L; Kaspari, S; Kreutz, K; Kurbatov, A; Meyerson, E; Ming, Y; Zhang, M; Motoyama, H; Mulvaney, R; Oerter, H; Osterberg, E; Proposito, M; Pyne, A; Ruth, U; Simoes, J; Smith, B; Sneed, S; Teinilä, K; Traufetter, F; Udisti, R; Virkkula, A; Watanabe, O; Williamson, B; Winther, JG; Li, Y; Wolff, E; Li, Z; Zielinski, A</t>
  </si>
  <si>
    <t>Bertler, N.; Mayewski, P. A.; Aristarain, A.; Barrett, P.; Becagli, S.; Bernardo, R.; Bo, S.; Xiao, C.; Curran, M.; Qin, D.; Dixon, D.; Ferron, F.; Fischer, H.; Frey, M.; Frezzotti, M.; Fundel, F.; Genthon, C.; Gragnani, R.; Hamilton, G.; Handley, M.; Hong, S.; Isaksson, E.; Kang, J.; Ren, J.; Kamiyama, K.; Kanamori, S.; Karkas, E.; Karlof, L.; Kaspari, S.; Kreutz, K.; Kurbatov, A.; Meyerson, E.; Ming, Y.; Zhang, M.; Motoyama, H.; Mulvaney, R.; Oerter, H.; Osterberg, E.; Proposito, M.; Pyne, A.; Ruth, U.; Simoes, J.; Smith, B.; Sneed, S.; Teinila, K.; Traufetter, F.; Udisti, R.; Virkkula, A.; Watanabe, O.; Williamson, B.; Winther, J-G.; Li, Y.; Wolff, E.; Li, Z.; Zielinski, A.</t>
  </si>
  <si>
    <t>Snow chemistry across Antarctica</t>
  </si>
  <si>
    <t>DRONNING MAUD LAND; SEA-SALT AEROSOL; TERRA-NOVA BAY; SPATIAL VARIABILITY; ICE CORES; DOME-C; SEASONAL-VARIATIONS; ACCUMULATION RATE; WEST ANTARCTICA; SURFACE SNOW</t>
  </si>
  <si>
    <t>An updated compilation of published and new data of major-ion (Ca, Cl, K, Mg, Na, NO3, SO4) and methylsulfonate (MS) concentrations in snow from 520 Antarctic sites is provided by the national ITASE (international Trans-Antarctic Scientific Expedition) programmes of Australia, Brazil, China, Germany, Italy, Japan, Korea, New Zealand, Norway, the United Kingdom, the United States and the national Antarctic programme of Finland. The comparison shows that snow chemistry concentrations vary by up to four orders of magnitude across Antarctica and exhibit distinct geographical patterns. The Antarctic-wide comparison of glaciochemical records provides a unique opportunity to improve our understanding of the fundamental factors that ultimately control the chemistry of snow or ice samples. This paper aims to initiate data compilation and administration in order to provide a framework for facilitation of Antarctic-wide snow chemistry discussions across all ITASE nations and other contributing groups. The data are made available through the ITASE web page (http:// www2.umaine.edu/itase/content/syngroups/snowchem.htmi) and will be updated with new data as they are provided. In addition, recommendations for future research efforts are summarized.</t>
  </si>
  <si>
    <t>Victoria Univ Wellington, Antarctic Res Ctr, Wellington, New Zealand; Univ Maine, Climate Change Inst, Orono, ME 04469 USA; Consejo Nacl Invest Cient &amp; Tecn, Lab Estratig Glaciar &amp; Geoquim Agua &amp; Nieve, RA-5500 Mendoza, Argentina; Univ Florence, Dept Chem, I-50019 Florence, Italy; Univ Fed Rio Grande do Sul, BR-91501970 Porto Alegre, RS, Brazil; Polar Res Inst China, Shanghai 200129, Peoples R China; China Acad Meteorol Sci, Inst Climate &amp; Environm, Beijing 100081, Peoples R China; Antarctic Climate &amp; Ecosyst CRC, Australian Antarctic Div, Hobart, Tas 7001, Australia; Chinese Acad Sci, Cold &amp; Arid Reg Environm &amp; Engn Res Inst, Lanzhou 730000, Peoples R China; Alfred Wegener Inst Polar &amp; Marine Res, D-27568 Bremerhaven, Germany; Univ Arizona, Dept Hydrol &amp; Water Resources, Tucson, AZ 85271 USA; ENEA, Ctr Ric Casaccia, I-00060 Rome, Italy; Lab Glaciol &amp; Geophys Environm, F-38402 St Martin Dheres, France; Korea Ocean Res &amp; Dev Inst, Korea Polar Res Inst, Seoul 425600, South Korea; Norwegian Polar Res Inst, NO-9296 Tromso, Norway; Natl Inst Polar Res, Itabashi Ku, Tokyo 1738515, Japan; Univ Helsinki, Div Geophys, Dept Phys Sci, FI-00014 Helsinki, Finland; British Antarctic Survey, NERC, Cambridge CB3 0ET, England; Finnish Meteorol Inst, FIN-00810 Helsinki, Finland; Chinese Acad Sci, Cold &amp; Arid Reg Environm &amp; Engn Res Inst, Lanzhou 730000, Peoples R China</t>
  </si>
  <si>
    <t>Victoria University Wellington; University of Maine System; University of Maine Orono; Consejo Nacional de Investigaciones Cientificas y Tecnicas (CONICET); University of Florence; Universidade Federal do Rio Grande do Sul; Polar Research Institute of China; China Meteorological Administration; Chinese Academy of Meteorological Sciences (CAMS); University of Tasmania; Australian Antarctic Division; Chinese Academy of Sciences; Cold &amp; Arid Regions Environmental &amp; Engineering Research Institute, CAS; Helmholtz Association; Alfred Wegener Institute, Helmholtz Centre for Polar &amp; Marine Research; University of Arizona; Italian National Agency New Technical Energy &amp; Sustainable Economics Development; Korea Institute of Ocean Science &amp; Technology (KIOST); Korea Polar Research Institute (KOPRI); Norwegian Polar Institute; Research Organization of Information &amp; Systems (ROIS); National Institute of Polar Research (NIPR) - Japan; University of Helsinki; UK Research &amp; Innovation (UKRI); Natural Environment Research Council (NERC); NERC British Antarctic Survey; Finnish Meteorological Institute; Chinese Academy of Sciences; Cold &amp; Arid Regions Environmental &amp; Engineering Research Institute, CAS</t>
  </si>
  <si>
    <t>Bertler, N (corresponding author), Victoria Univ Wellington, Antarctic Res Ctr, POB 600, Wellington, New Zealand.</t>
  </si>
  <si>
    <t>Fundel, Felix/C-5469-2009; Bertler, Nancy A N/F-3967-2011; Wolff, Eric W/D-7925-2014; Becagli, Silvia/GNW-2665-2022; Wang, Hui/HMU-9512-2023; FREZZOTTI, Massimo/AAK-7275-2020; Mayewski, Paul Andrew/HRD-6969-2023; Hamilton, Gordon S/G-1679-2011; Simoes, Jefferson Cardia/D-7232-2013; Udisti, Roberto/M-7966-2015; Frey, Markus/G-1756-2012; Virkkula, Aki/B-8575-2014; Fischer, Hubertus/A-1211-2014; Mulvaney, Robert/K-3929-2012</t>
  </si>
  <si>
    <t>Wolff, Eric W/0000-0002-5914-8531; FREZZOTTI, Massimo/0000-0002-2461-2883; Simoes, Jefferson Cardia/0000-0001-5555-3401; Udisti, Roberto/0000-0003-4440-8238; Frey, Markus/0000-0003-0535-0416; Virkkula, Aki/0000-0003-4874-7552; Bernardo, Ronaldo/0000-0002-1143-7916; Osterberg, Erich/0000-0002-0675-1230; Fischer, Hubertus/0000-0002-2787-4221; Kurbatov, Andrei/0000-0002-9819-9251; Proposito, Marco/0000-0002-5977-3003; Mulvaney, Robert/0000-0002-5372-8148; Bertler, Nancy/0000-0001-6028-4891; Becagli, Silvia/0000-0003-3633-4849</t>
  </si>
  <si>
    <t>Natural Environment Research Council [bas010001] Funding Source: researchfish; NERC [bas010001] Funding Source: UKRI</t>
  </si>
  <si>
    <t>10.3189/172756405781813320</t>
  </si>
  <si>
    <t>WOS:000238029800023</t>
  </si>
  <si>
    <t>Mayewski, PA; Frezzotti, M; Bertler, N; Van Ommen, T; Hamilton, G; Jacka, TH; Welch, B; Frey, M; Qin, D; Ren, JW; Simoes, J; Fily, M; Oerter, H; Nishio, F; Isaksson, E; Mulvaney, R; Holmund, P; Lipenkov, V; Goodwin, I</t>
  </si>
  <si>
    <t>Mayewski, Paul Andrew; Frezzotti, Massimo; Bertler, Nancy; Van Ommen, Tas; Hamilton, Gordon; Jacka, Tim H.; Welch, Brian; Frey, Markus; Qin, Dahe; Ren, Jiawen; Simoes, Jefferson; Fily, Michel; Oerter, Hans; Nishio, Fumihiko; Isaksson, Elisabeth; Mulvaney, Robert; Holmund, Per; Lipenkov, Volodya; Goodwin, Ian</t>
  </si>
  <si>
    <t>ITASE</t>
  </si>
  <si>
    <t>The International Trans-Antarctic Scientific Expedition (ITASE): an overview</t>
  </si>
  <si>
    <t>SURFACE MASS-BALANCE; DRONNING MAUD LAND; ISOTOPIC SNOW VARIABILITY; EAST ANTARCTICA; ICE-CORE; VOSTOK STATION; DOME-C; ACCUMULATION; SUBLIMATION; TRAVERSE</t>
  </si>
  <si>
    <t>From its original formulation in 1990 the International Trans-Antarctic Scientific Expedition (ITASE) has had as its primary aim the collection and interpretation of a continent-wide array of environmental parameters assembled through the coordinated efforts of scientists from several nations. ITASE offers the ground-based opportunities of traditional-style traverse travel coupled with the modern technology of CPS, crevasse detecting radar, satellite communications and multidisciplinary research. By operating predominantly in the mode of an oversnow traverse, ITASE offers scientists the opportunity to experience the dynamic range of the Antarctic environment. ITASE also offers an important interactive venue for research similar to that afforded by oceanographic research vessels and large polar field camps, without the cost of the former or the lack of mobility of the latter. More importantly, the combination of disciplines represented by ITASE provides a unique, multidimensional (space and time) view of the ice sheet and its history. ITASE has now collected &gt; 20 000 km of snow radar, recovered more than 240 firn/ice cores (total length 7000m), remotely penetrated to similar to 4000m into the ice sheet, and sampled the atmosphere to heights of &gt; 20 km.</t>
  </si>
  <si>
    <t>Univ Maine, Climate Change Inst, Bryand Global Sci Ctr 303, Orono, ME 04469 USA; ENEA, Ctr Ric Casaccia, I-00060 Rome, Italy; Victoria Univ Wellington, Antarctic Res Ctr, Wellington, New Zealand; Dept Environm &amp; Heritage, Australian Antarctic Div, Hobart, Tas 7001, Australia; Antarctic Climate &amp; Ecosyst CRC, Hobart, Tas 7001, Australia; St Olaf Coll, Dept Phys, Northfield, MN 55057 USA; Univ Arizona, Dept Hydrol &amp; Water Resources, Tucson, AZ 85271 USA; China Meteorol Adm, Beijing 100081, Peoples R China; Chinese Acad Sci, Lanzhou Inst Glaciol &amp; Geocryol, Lanzhou 730000, Peoples R China; Univ Fed Rio Grande do Sul, BR-91501970 Porto Alegre, RS, Brazil; Univ Grenoble 1, CNRS, Lab Glaciol &amp; Geophys Environm, F-38402 St Martin Dheres, France; Alfred Wegener Inst Polar &amp; Marine Res, D-27515 Bremerhaven, Germany; Chiba Univ, Ctr Environm Remote Sensing, Chiba 2638522, Japan; Norwegian Environm Ctr, Norwegian Polar Inst, NO-9005 Tromso, Norway; British Antarctic Survey, NERC, Cambridge CB3 0ET, England; Stockholm Univ, Dept Phys Geog, SE-10691 Stockholm, Sweden; Arctic &amp; Antarctic Res Inst, St Petersburg 119226, Russia; Univ Newcastle, Sch Environm &amp; Life Sci, Callaghan, NSW 2038, Australia</t>
  </si>
  <si>
    <t>University of Maine System; University of Maine Orono; Italian National Agency New Technical Energy &amp; Sustainable Economics Development; Victoria University Wellington; Australian Antarctic Division; University of Tasmania; Saint Olaf College; University of Arizona; China Meteorological Administration; Chinese Academy of Sciences; Universidade Federal do Rio Grande do Sul; Communaute Universite Grenoble Alpes; Universite Grenoble Alpes (UGA); Centre National de la Recherche Scientifique (CNRS); Helmholtz Association; Alfred Wegener Institute, Helmholtz Centre for Polar &amp; Marine Research; Chiba University; Norwegian Polar Institute; UK Research &amp; Innovation (UKRI); Natural Environment Research Council (NERC); NERC British Antarctic Survey; Stockholm University; Arctic &amp; Antarctic Research Institute; University of Newcastle</t>
  </si>
  <si>
    <t>Hamilton, Gordon S/G-1679-2011; Simoes, Jefferson Cardia/D-7232-2013; FREZZOTTI, Massimo/AAK-7275-2020; Bertler, Nancy A N/F-3967-2011; Jiawen, Ren/K-7734-2012; Mayewski, Paul Andrew/HRD-6969-2023; Mulvaney, Robert/K-3929-2012; Lipenkov, Vladimir/Q-8262-2016; van Ommen, Tas/B-5020-2012</t>
  </si>
  <si>
    <t>Simoes, Jefferson Cardia/0000-0001-5555-3401; FREZZOTTI, Massimo/0000-0002-2461-2883; Mulvaney, Robert/0000-0002-5372-8148; Goodwin, Ian/0000-0001-8682-6409; Lipenkov, Vladimir/0000-0003-4221-5440; van Ommen, Tas/0000-0002-2463-1718; Bertler, Nancy/0000-0001-6028-4891</t>
  </si>
  <si>
    <t>NERC [bas010016] Funding Source: UKRI; Natural Environment Research Council [bas010016] Funding Source: researchfish</t>
  </si>
  <si>
    <t>10.3189/172756405781813159</t>
  </si>
  <si>
    <t>WOS:000238029800024</t>
  </si>
  <si>
    <t>De Angelis, H; Kleman, J</t>
  </si>
  <si>
    <t>Dowdeswell, J; Willis, IC</t>
  </si>
  <si>
    <t>De Angelis, Hernan; Kleman, Johan</t>
  </si>
  <si>
    <t>Palaeo-ice streams in the northern Keewatin sector of the Laurentide ice sheet</t>
  </si>
  <si>
    <t>ANNALS OF GLACIOLOGY, VOL 42, 2005</t>
  </si>
  <si>
    <t>International Symposium on Arctic Glaciology</t>
  </si>
  <si>
    <t>AUG 23-27, 2004</t>
  </si>
  <si>
    <t>Geilo, NORWAY</t>
  </si>
  <si>
    <t>DISPERSAL TRAINS; FLOW; CANADA; RECONSTRUCTION; MODEL</t>
  </si>
  <si>
    <t>Evidence for ice streams in the Laurentide ice sheet is widespread. In the region of northern Keewatin and the Boothia Peninsula, Nunavut, Canada, palaeo-ice streams have been recognized, but their location, size and potential role in ice-sheet dynamics are poorly constrained. Based on the interpretation of satellite imagery, we produce a palaeo-ice-stream map of this region. Glacial directional landforms, eskers and moraines were mapped and integrated into landform assemblages using a glacial geological inversion model. Palaeo-frozen bed areas were also identified. Relative age of the geomorphic swarms was assessed by cross-cutting relationships and radiocarbon ages where available. Using this information we obtained a glaciologically plausible picture of ice-stream evolution within the northernmost Laurentide ice sheet. On the M'Clintock Channel corridor, three generations of pure ice streams are found. On Baffin Island and the Gulf of Boothia, glaciation was dominated by frozen-bed zones located on high plateaus and ice streams running along the troughs, i.e. topographic ice streams. A massive convergent pattern at the head of Committee Bay drained ice from both the Keewatin and Foxe sectors and was probably one of the main deglaciation channels of the Laurentide ice sheet. Finally, our results indicate that streaming flow was present in the deep interior of the Laurentide ice sheet, as recently shown for the Greenland and Antarctic ice sheets.</t>
  </si>
  <si>
    <t>Stockholm Univ, Dept Phys Geog &amp; Quaternary Geol, SE-10691 Stockholm, Sweden</t>
  </si>
  <si>
    <t>De Angelis, H (corresponding author), Stockholm Univ, Dept Phys Geog &amp; Quaternary Geol, SE-10691 Stockholm, Sweden.</t>
  </si>
  <si>
    <t>hernan.deangelis@natgeo.su.se</t>
  </si>
  <si>
    <t>De Angelis, Hernán/AAD-9020-2019; De Angelis, Hernán/E-1352-2012</t>
  </si>
  <si>
    <t>De Angelis, Hernán/0000-0002-8584-272X; De Angelis, Hernán/0000-0002-8584-272X</t>
  </si>
  <si>
    <t>10.3189/172756405781812925</t>
  </si>
  <si>
    <t>BFB25</t>
  </si>
  <si>
    <t>WOS:000240655300021</t>
  </si>
  <si>
    <t>Isaksson, E; Kekonen, T; Moore, J; Mulvaney, R</t>
  </si>
  <si>
    <t>Isaksson, Elisabeth; Kekonen, Teija; Moore, John; Mulvaney, Robert</t>
  </si>
  <si>
    <t>The methanesulfonic acid (MSA) record in a Svalbard ice core</t>
  </si>
  <si>
    <t>SEA-ICE; ATMOSPHERIC CIRCULATION; BIOGENIC SULFUR; GREENLAND; CLIMATE; LOMONOSOVFONNA; VARIABILITY; SULFATE; ACCUMULATION; EXTENT</t>
  </si>
  <si>
    <t>Svalbard ice cores have not yet been fully exploited for studies of climate and environmental conditions. In one recently drilled ice core from Lomonosovfonna, we have studied the methanesulfonic acid (MSA) records in relation to temperature and sea ice. Under the present climatic conditions, MSA appears to be negatively correlated with the sea-ice conditions in the Barents Sea, and positively correlated with the instrumental temperature record from Svalbard. However, prior to about 1920 the MSA concentrations were about twice as high, despite the more extensive sea-ice coverage. After exploring different possibilities, we suggest that MSA concentrations were higher in the 19th century than in the 20th century due to increased primary production, in response to increased vertical stability of the sea surface layers, caused by increased meltwater production from the more extensive sea-ice cover. Thus, the MSA record from Lomonosovfonna probably both is a measure of the regional sea-ice variability on the multi-decadal scale and reflects locally favorable conditions for marine biogenic dimethyl sulfide (DMS) production on the sub-decadal scale.</t>
  </si>
  <si>
    <t>Norwegian Polar Res Inst, Norwegian Environm Ctr, NO-9296 Tromso, Norway; Univ Lapland, Arctic Ctr, FIN-96101 Rovaniemi, Finland; Univ Oulu, Dept Chem, FIN-90570 Oulu, Finland; British Antarctic Survey, NERC, Cambridge CB3 0ET, England</t>
  </si>
  <si>
    <t>Norwegian Polar Institute; University of Lapland; University of Oulu; UK Research &amp; Innovation (UKRI); Natural Environment Research Council (NERC); NERC British Antarctic Survey</t>
  </si>
  <si>
    <t>Isaksson, E (corresponding author), Norwegian Polar Res Inst, Norwegian Environm Ctr, NO-9296 Tromso, Norway.</t>
  </si>
  <si>
    <t>elli@npolar.no</t>
  </si>
  <si>
    <t>Moore, John C/B-2868-2013; Mulvaney, Robert/K-3929-2012</t>
  </si>
  <si>
    <t>Moore, John C/0000-0001-8271-5787; Mulvaney, Robert/0000-0002-5372-8148</t>
  </si>
  <si>
    <t>Natural Environment Research Council [bas010016] Funding Source: researchfish; NERC [bas010016] Funding Source: UKRI</t>
  </si>
  <si>
    <t>10.3189/172756405781812637</t>
  </si>
  <si>
    <t>WOS:000240655300051</t>
  </si>
  <si>
    <t>Fritzsche, D; Schütt, R; Meyer, H; Miller, H; Wilhelms, F; Opel, T; Savatyugin, LM</t>
  </si>
  <si>
    <t>Fritzsche, Diedrich; Schuett, Rainer; Meyer, Hanno; Miller, Heinz; Wilhelms, Frank; Opel, Thomas; Savatyugin, Lev M.</t>
  </si>
  <si>
    <t>A 275 year ice-core record from Akademii Nauk ice cap, Severnaya Zemlya, Russian Arctic</t>
  </si>
  <si>
    <t>GLACIERS; SVALBARD</t>
  </si>
  <si>
    <t>Between 1999 and 2001, a 724 m long ice core was drilled on Akademii Nauk, the largest glacier on Severnaya Zemlya, Russian Arctic. The drilling site is located near the summit. The core is characterized by high melt-layer content. The melt layers are caused by melting and even by rain during the summer. We present high-resolution data of density, electrical conductivity (dielectrical profiling), stable water isotopes and melt-layer content for the upper 136 m (1120 m w.e.) of the ice core. The dating by isotopic cycles and electrical conductivity peak identification suggests that this core section covers approximately the past 275 years. Singularities of volcanogenic and anthropogenic origin provide well-defined additional time markers. Long-term temperatures inferred from 12 year running mean averages of delta O-18 reach their lowest level in the entire record around 1790. Thereafter the delta O-18 values indicate a continuously increasing mean temperature on the Akademii Nauk ice cap until 1935, interrupted only by minor cooling episodes. The 20th century is found to be the warmest period in this record.</t>
  </si>
  <si>
    <t>Alfred Wegener Inst Polar &amp; Marine Res, D-14473 Potsdam, Germany; Alfred Wegener Inst Polar &amp; Marine Res, D-27515 Bremerhaven, Germany; Arctic &amp; Antarctic Res Inst, St Petersburg 199397, Russia; Humboldt Univ, Dept Geog, D-10099 Berlin, Germany</t>
  </si>
  <si>
    <t>Helmholtz Association; Alfred Wegener Institute, Helmholtz Centre for Polar &amp; Marine Research; Helmholtz Association; Alfred Wegener Institute, Helmholtz Centre for Polar &amp; Marine Research; Arctic &amp; Antarctic Research Institute; Humboldt University of Berlin</t>
  </si>
  <si>
    <t>Fritzsche, D (corresponding author), Alfred Wegener Inst Polar &amp; Marine Res, POB 600149, D-14473 Potsdam, Germany.</t>
  </si>
  <si>
    <t>dfritsch@awi-potsdam.de</t>
  </si>
  <si>
    <t>Wilhelms, Frank/KEI-8426-2024; Meyer, Hanno/AAQ-4260-2021; Opel, Thomas/O-9037-2014</t>
  </si>
  <si>
    <t>Wilhelms, Frank/0000-0001-7688-3135; Meyer, Hanno/0000-0003-4129-4706; Fritzsche, Diedrich/0000-0002-0018-8993; Miller, Heinrich/0000-0003-1015-2828; Opel, Thomas/0000-0003-1315-8256</t>
  </si>
  <si>
    <t>10.3189/172756405781812862</t>
  </si>
  <si>
    <t>WOS:000240655300053</t>
  </si>
  <si>
    <t>Lakes beneath the ice sheet: The occurrence, analysis, and future exploration of Lake Vostok and other Antarctic subglacial lakes</t>
  </si>
  <si>
    <t>ANNUAL REVIEW OF EARTH AND PLANETARY SCIENCES</t>
  </si>
  <si>
    <t>Annual Review of Earth and Planetary Sciences</t>
  </si>
  <si>
    <t>Antarctica; subglacial environments; exploration</t>
  </si>
  <si>
    <t>NUMERICAL-MODEL; WATER; CORE; REGION; GREENLAND; FRAMEWORK; CLIMATE; STATION; ORIGIN; FATE</t>
  </si>
  <si>
    <t>Airborne geophysics has been used to identify more than 100 lakes beneath the ice sheets of Antarctica. The largest, Lake Vostok, is more than 250 km in length and 1 km deep. Subglacial lakes occur because the ice base is kept warm by geothermal heating, and generated meltwater collects in topographic hollows. For lake water to be in equilibrium with the ice sheet, its roof must slope ten times more than the ice sheet surface. This slope causes differential temperatures and melting/freezing rates across the lake ceiling, which excites water circulation. The exploration of subglacial lakes has two goals: to find and understand the life that may inhabit these unique environments and to measure the climate records that occur in sediments on lake floors. The technological developments required for in situ measurements mean, however, that direct studies of subglacial lakes may take several years to happen.</t>
  </si>
  <si>
    <t>Univ Bristol, Bristol Glaciol Ctr, Sch Geog Sci, Bristol BS8 1SS, Avon, England</t>
  </si>
  <si>
    <t>Univ Bristol, Bristol Glaciol Ctr, Sch Geog Sci, Bristol BS8 1SS, Avon, England.</t>
  </si>
  <si>
    <t>m.j.siegert@bristol.ac.uk</t>
  </si>
  <si>
    <t>Siegert, Martin J/A-3826-2008; Siegert, Martin/M-9939-2019</t>
  </si>
  <si>
    <t>Siegert, Martin J/0000-0002-0090-4806; Siegert, Martin/0000-0002-0090-4806</t>
  </si>
  <si>
    <t>ANNUAL REVIEWS</t>
  </si>
  <si>
    <t>PALO ALTO</t>
  </si>
  <si>
    <t>4139 EL CAMINO WAY, PO BOX 10139, PALO ALTO, CA 94303-0139 USA</t>
  </si>
  <si>
    <t>0084-6597</t>
  </si>
  <si>
    <t>ANNU REV EARTH PL SC</t>
  </si>
  <si>
    <t>Annu. Rev. Earth Planet. Sci.</t>
  </si>
  <si>
    <t>10.1146/annurev.earth.33.092203.122725</t>
  </si>
  <si>
    <t>Astronomy &amp; Astrophysics; Geosciences, Multidisciplinary</t>
  </si>
  <si>
    <t>Astronomy &amp; Astrophysics; Geology</t>
  </si>
  <si>
    <t>936FK</t>
  </si>
  <si>
    <t>WOS:000229840700008</t>
  </si>
  <si>
    <t>Clarke, GKC</t>
  </si>
  <si>
    <t>Subglacial processes</t>
  </si>
  <si>
    <t>subglacial hydrology; subglacial mechanics; sliding; sediment deformation; glacial landforms</t>
  </si>
  <si>
    <t>ANTARCTIC ICE STREAM; FREEZE-ON MECHANISM; RICH BASAL ICE; WEST ANTARCTICA; TILL DEFORMATION; GRAIN-SIZE; SEDIMENT ENTRAINMENT; GLACIER MOTION; RING-SHEAR; DYNAMICS</t>
  </si>
  <si>
    <t>Processes operating beneath glaciers can have a greater influence on flow dynamics than those operating within them. The variety and complexity of these processes, which involve interactions among ice, water, and geological solids, resist efforts to establish simple truths and can lead to surprising outcomes. Thermal conditions at the ice-bed interface (melting or nonmelting) and the mechanical properties of the glacier substrate (soft or hard) determine which processes can be activated. The warm-soft case supports the greatest variety of processes and is the most important for fast-flow dynamics and for the mobilization of subglacial sediment. Process interactions can lead to oscillations and spatio-temporal switching behavior in glaciers and ice sheets as well as to the generation of subglacial landforms.</t>
  </si>
  <si>
    <t>Univ British Columbia, Dept Earth &amp; Ocean Sci, Vancouver, BC V6T 1Z4, Canada</t>
  </si>
  <si>
    <t>University of British Columbia</t>
  </si>
  <si>
    <t>Univ British Columbia, Dept Earth &amp; Ocean Sci, Vancouver, BC V6T 1Z4, Canada.</t>
  </si>
  <si>
    <t>clarke@eos.ubc.ca</t>
  </si>
  <si>
    <t>10.1146/annurev.earth.33.092203.122621</t>
  </si>
  <si>
    <t>WOS:000229840700009</t>
  </si>
  <si>
    <t>Wang, XJ; Key, JR</t>
  </si>
  <si>
    <t>Menzel, WP; IWasaki, T</t>
  </si>
  <si>
    <t>Arctic climate characteristics and recent trends from space</t>
  </si>
  <si>
    <t>APPLICATIONS WITH WEATHER SATELLITES II</t>
  </si>
  <si>
    <t>PROCEEDINGS OF THE SOCIETY OF PHOTO-OPTICAL INSTRUMENTATION ENGINEERS (SPIE)</t>
  </si>
  <si>
    <t>Conference on Applications with Weather Satellites II</t>
  </si>
  <si>
    <t>NOV 09-11, 2004</t>
  </si>
  <si>
    <t>Honolulu, HI</t>
  </si>
  <si>
    <t>AVERR polar pathfinder data set (APP); Arctic climate; Arctic climate change; CASPR; FluxNet; Arctic Oscillation (AO); trend; cloud forcing; global climate change</t>
  </si>
  <si>
    <t>SEA-ICE COVER; OCEAN-ATMOSPHERE MODEL; TEMPORAL VARIABILITY; HIGH-LATITUDES; DATA SETS; CLOUD; RADIATION; SURFACE; ALBEDO; TEMPERATURE</t>
  </si>
  <si>
    <t>The newly available Advanced Very High Resolution Radiometer (AVHRR) Polar Pathfinder (APP) data has been extended to create a comprehensive data set, called APP-x, containing cloud microphysical properties, surface temperature and broadband albedo, radiative fluxes and cloud forcing for the Arctic and Antarctic over the 19-year period 1,982-2000. The APP-x data show that the annual mean cloud coverage in the Arctic is about 70%, with a maximum in September and a minimum in April. Arctic cloud optical depth averages about 5 similar to 6. The largest downwelling shortwave radiative flux at the surface occurs in June; the largest upwelling shortwave flux occurs in May. The largest downwelling and upwelling longwave and net radiative fluxes occur in July, with the largest loss of longwave radiation from the surface in April.</t>
  </si>
  <si>
    <t>Univ Wisconsin, Cooperat Inst Meteorol Satellite Studies, Madison, WI 53706 USA</t>
  </si>
  <si>
    <t>University of Wisconsin System; University of Wisconsin Madison</t>
  </si>
  <si>
    <t>Wang, XJ (corresponding author), Univ Wisconsin, Cooperat Inst Meteorol Satellite Studies, 1225 W Dayton St, Madison, WI 53706 USA.</t>
  </si>
  <si>
    <t>Key, Jeffrey R./AAB-7248-2020</t>
  </si>
  <si>
    <t>SPIE-INT SOC OPTICAL ENGINEERING</t>
  </si>
  <si>
    <t>BELLINGHAM</t>
  </si>
  <si>
    <t>1000 20TH ST, PO BOX 10, BELLINGHAM, WA 98227-0010 USA</t>
  </si>
  <si>
    <t>0277-786X</t>
  </si>
  <si>
    <t>0-8194-5619-5</t>
  </si>
  <si>
    <t>P SOC PHOTO-OPT INS</t>
  </si>
  <si>
    <t>10.1117/12.578803</t>
  </si>
  <si>
    <t>Engineering, Aerospace; Instruments &amp; Instrumentation; Meteorology &amp; Atmospheric Sciences</t>
  </si>
  <si>
    <t>Engineering; Instruments &amp; Instrumentation; Meteorology &amp; Atmospheric Sciences</t>
  </si>
  <si>
    <t>BBT11</t>
  </si>
  <si>
    <t>WOS:000227664900026</t>
  </si>
  <si>
    <t>Dayan, U; Lamb, D</t>
  </si>
  <si>
    <t>Global and synoptic-scale weather patterns controlling wet atmospheric deposition over central Europe</t>
  </si>
  <si>
    <t>sulfate wet deposition; Europe; EMEP; atmospheric circulation patterns</t>
  </si>
  <si>
    <t>PRECIPITATION CHEMISTRY; CENTRAL PENNSYLVANIA; ACID PRECIPITATION; AIR-TEMPERATURE; NORTH-AMERICA; NADP/NTN; CLIMATE; SULFATE; 20TH-CENTURY; VARIABILITY</t>
  </si>
  <si>
    <t>The EMEP precipitation chemistry network was used in combination with the Reanalysis NCEP/NCAR archive to analyze the influence of climatic-scale variations in atmospheric circulation on summertime wet sulfate deposition over central Europe from 1984 to 1999. Correlation of deposition with hemispheric and global circulation patterns indicates a significant role (49% of the variance) for the North Hemispheric Pacific Transition (PT) teleconnection in the wet deposition of sulfate over central Europe in August. The seasonal correlation of air temperature at shallow tropospheric layers reveals significantly cooler air masses over central Europe, Alaska and the southwestern US coast and warmer air over Greenland, the Barents and Kara Sea and the South Atlantic and Indian Ocean. The geopotential height (GPH) anomalies for sulfate-rich deposition years exhibit a pattern consistent with the seasonal correlation. A weakening of both belts of Sub-Polar lows and Antarctic Polar Highs is also observed. In the Northern Hemisphere. a distinct dipole in GPH is observed, with a positive anomaly over Iceland and the Norwegian Sea and a negative anomaly over Russia and Scandinavia. Composite plots of the most loaded/unloaded days of sulfate deposition yielded a prominent signal of the associated mean atmospheric field patterns. The composite sea-level pressure (SLP) for the 20 highest deposition days shows an average intensification of 1 hPa and a northeastward migration of the Azores Subtropical High. leading to a significant anomaly in the negative meridional wind component at the 925-hPa level. This flow presumably enables the transport and oxidation of SO, emitted from major upwind pollution sources toward central Europe. The observed downward trend in sulfate deposition suggests that the study period was characterized by predominantly warm zonal circulation. More frequent zonal flows in the future, together with further reductions in sulfur dioxide emissions are likely to lead to lower sulfate deposition. (C) 2004 Elsevier Ltd. All rights reserved.</t>
  </si>
  <si>
    <t>Hebrew Univ Jerusalem, Dept Geog, IL-91905 Jerusalem, Israel; Penn State Univ, Dept Meteorol, University Pk, PA 16802 USA</t>
  </si>
  <si>
    <t>Hebrew University of Jerusalem; Pennsylvania Commonwealth System of Higher Education (PCSHE); Pennsylvania State University; Pennsylvania State University - University Park</t>
  </si>
  <si>
    <t>Hebrew Univ Jerusalem, Dept Geog, IL-91905 Jerusalem, Israel.</t>
  </si>
  <si>
    <t>msudayan@mscc.huji.ac.il</t>
  </si>
  <si>
    <t>Dayan, Uri/D-4855-2014</t>
  </si>
  <si>
    <t>JAN</t>
  </si>
  <si>
    <t>10.1016/j.atmosenv.2004.09.063</t>
  </si>
  <si>
    <t>892BU</t>
  </si>
  <si>
    <t>WOS:000226625500010</t>
  </si>
  <si>
    <t>Greenhough, J; Remedios, JJ; Sembhi, H; Kramer, LJ</t>
  </si>
  <si>
    <t>Burrows, JP; Eichmann, KU</t>
  </si>
  <si>
    <t>Towards cloud detection and cloud frequency distributions from MIPAS infra-red observations</t>
  </si>
  <si>
    <t>ATMOSPHERIC REMOTE SENSING: EARTH'S SURFACE, TROPOSPHERE, STRATOSPHERE AND MESOSPHERE - I</t>
  </si>
  <si>
    <t>ADVANCES IN SPACE RESEARCH-SERIES</t>
  </si>
  <si>
    <t>35th COSPAR Scientific Assembly</t>
  </si>
  <si>
    <t>JUL 18-25, 2004</t>
  </si>
  <si>
    <t>Paris, FRANCE</t>
  </si>
  <si>
    <t>remote sensing; MIPAS; cirrus clouds; polar stratospheric clouds</t>
  </si>
  <si>
    <t>POLAR STRATOSPHERIC CLOUDS; TROPICAL CIRRUS; AEROSOL; SPECTRA; VORTEX</t>
  </si>
  <si>
    <t>Historically, clouds have been observed principally using nadir sounding but more recently, limb sounding observations have begun to reveal details of clouds in the upper troposphere, mainly sub-visible cirrus, and in the polar lower stratosphere. The Michelson Interferometer for Passive Atmospheric Sounding (MIPAS), launched on ENVISAT in March 2002, provides an unprecedented opportunity to examine the infra-red emission spectra of clouds at high spectral resolution (0.025 cm(-1) unapodised) and vertical resolutions of 3 km. In this paper, we examine the efficiency of a cloud index which is used operationally to detect clouds in MIPAS data and show that water vapour, the chief gaseous influence on the cloud index, does not affect the detection at altitudes of 12 km and above. We show further that it is possible to map the cloud index to an effective cloud extinction coefficient provided that either water vapour concentrations are known or else: (i) at 18 km and above in the tropics; (ii) at 15 km and above in midlatitudes; (iii) between 15 and 27 km in polar winter. We apply a conservative cloud detection limit of 2.2 to available MIPAS level 1b off-line data (calibrated emission spectra) versions 4.61 and 4.62, to derive seasonal cloud frequency distributions. For altitudes between 12 and 30 km, higher cloud frequencies are found in the tropics and in the region of the Antarctic ozone hole, whilst relatively low cloud frequencies are observed over mid-latitudes and in the Arctic stratospheric vortex of 2002-2003. (c) 2005 COSPAR. Published by Elsevier Ltd. All rights reserved.</t>
  </si>
  <si>
    <t>Univ Leicester, Dept Phys &amp; Astron, EOS, Ctr Space Res, Leicester LE1 7RH, Leics, England</t>
  </si>
  <si>
    <t>University of Leicester</t>
  </si>
  <si>
    <t>Univ Leicester, Dept Phys &amp; Astron, EOS, Ctr Space Res, Leicester LE1 7RH, Leics, England.</t>
  </si>
  <si>
    <t>jg113@le.ac.uk; jjr8@le.ac.uk; hs32@le.ac.uk; ljk7@le.ac.uk</t>
  </si>
  <si>
    <t>Sembhi, Harjinder/0000-0002-4976-6600; Kramer, Louisa/0000-0002-0823-6638</t>
  </si>
  <si>
    <t>ELSEVIER SCIENCE LTD</t>
  </si>
  <si>
    <t>THE BOULEVARD, LANGFORD LANE, KIDLINGTON, OXFORD 0X5 1GB, OXON, ENGLAND</t>
  </si>
  <si>
    <t>0273-1177</t>
  </si>
  <si>
    <t>ADV SPACE RES-SERIES</t>
  </si>
  <si>
    <t>10.1016/j.asr.2005.04.096</t>
  </si>
  <si>
    <t>Engineering, Aerospace; Astronomy &amp; Astrophysics; Geosciences, Multidisciplinary; Meteorology &amp; Atmospheric Sciences; Remote Sensing</t>
  </si>
  <si>
    <t>Engineering; Astronomy &amp; Astrophysics; Geology; Meteorology &amp; Atmospheric Sciences; Remote Sensing</t>
  </si>
  <si>
    <t>BDU64</t>
  </si>
  <si>
    <t>WOS:000235478400005</t>
  </si>
  <si>
    <t>Roscoe, HK; Colwell, SR; Shanklin, JD; Karhu, JA; Taalas, P; Gil, M; Yela, M; Rodriguez, S; Rafanelli, C; Cazeneuve, H; Villanueva, CA; Ginsburg, M; Diaz, SB; de Zafra, RL; Muscari, G; Redaelli, G; Dragani, R</t>
  </si>
  <si>
    <t>Measurements from ground and balloons during APE-GAIA - A polar ozone library</t>
  </si>
  <si>
    <t>Antarctic; ozone; remote sensors; trace gases; ground-based</t>
  </si>
  <si>
    <t>WAVE SPECTROSCOPIC MEASUREMENTS; SOUTH-POLE; ANTARCTICA; NO2; ENHANCEMENTS; EVOLUTION; RECOVERY; LOSSES; VORTEX; HNO3</t>
  </si>
  <si>
    <t>Man), long-term monitoring sites in Antarctic regions, which deploy ground-based stratospheric remote sensors and fly radiosondes or ozonesondes on balloons, supported the Airborne Polar Experiment in September and October 1999. Support consisted of supplying data to the campaign in real time, and in some cases by increasing the frequency of measurements during the campaign. The results will strengthen scientific conclusions from the airborne measurements. But results from these sites are allowing important scientific studies of new aspects of the ozone hole in their own right, because like the aircraft and its campaign, many sites traverse the vortex edge and are close to the largest source of lee waves, or measure infrequently observed trace gases such as HNO3. Examples of such studies are the behaviour and value of NO2 in midwinter, ozone filamentation with no apparent horizontal advection, the frequency and amplitude of gravity waves over the Antarctic Peninsula, mixing in the lowest stratosphere in Antarctic spring, the mechanism and frequency of HNO3 enhancement above the ozone peak in midwinter, and trends in UV dose in southern South America. (c) 2005 COSPAR. Published by Elsevier Ltd. All rights reserved.</t>
  </si>
  <si>
    <t>British Antarctic Survey, NERC, Cambridge CB3 0ET, England; INTA, Madrid, Spain; CNR, IFA, I-00185 Rome, Italy; Direcc Nacl Antarctico, RA-1010 Buenos Aires, DF, Argentina; Serv Meteorol Nacl, Buenos Aires, DF, Argentina; CADIC, Ushuaia, Argentina; SUNY Stony Brook, Stony Brook, NY 11794 USA; Univ Aquila, I-67100 Laquila, Italy</t>
  </si>
  <si>
    <t>UK Research &amp; Innovation (UKRI); Natural Environment Research Council (NERC); NERC British Antarctic Survey; Consejo Superior de Investigaciones Cientificas (CSIC); CSIC - Centro de Astrobiologia (INTA); Consiglio Nazionale delle Ricerche (CNR); State University of New York (SUNY) System; State University of New York (SUNY) Stony Brook; University of L'Aquila</t>
  </si>
  <si>
    <t>Redaelli, Gianluca/GZX-3219-2022; Yela Gonzalez, Margarita/J-7346-2016</t>
  </si>
  <si>
    <t>Redaelli, Gianluca/0000-0002-4449-1513; Muscari, Giovanni/0000-0001-6326-2612; Yela Gonzalez, Margarita/0000-0003-3775-3156</t>
  </si>
  <si>
    <t>10.1016/j.asr.2005.03.016</t>
  </si>
  <si>
    <t>WOS:000235478400010</t>
  </si>
  <si>
    <t>Spang, R; Remedios, JJ; Tilmes, S; Riese, M</t>
  </si>
  <si>
    <t>MIPAS observation of polar stratospheric clouds in the Arctic 2002/2003 and Antarctic 2003 winters</t>
  </si>
  <si>
    <t>remote sensing; polar stratospheric clouds</t>
  </si>
  <si>
    <t>PARTICLES; SPECTRA; VORTEX; PSCS</t>
  </si>
  <si>
    <t>The Michelson Interferometer for Passive Atmospheric Sounding (MIPAS) was successfully launched on board ENVISAT in March 2002. The spectrally highly resolved limb emission spectra provide a great opportunity for the detection and differentiation of cloud types. Monitoring of PSC cloud coverage and type differentiation by remote sensors on a vortex-wide basis are essential for better understanding and quantification of the denitrification in both polar vortices and effects on ozone recovery. The MIPAS is currently the only instrument in space delivering global observations of polar stratospheric cloud (PSC) distribution over complete winters. These kinds of measurements are becoming more and more important for the validation of PSC formation mechanisms of microphysical models on a statistical basis. In this study, MIPAS-calibrated limb spectra are analysed. Retrieved PSC quantities (e.g., cloud top heights and PSC occurrence frequencies) for the Arctic winter 2002/2003 and Antarctic winter 2003 are presented in comparison with meteorological analyses. Characteristics of the specific winters are highlighted. In addition, a preliminary PSC type differentiation scheme for nitric acid trihydrate (NAT) particles has been applied to the measured infrared spectra. (c) 2005 COSPAR. Published by Elsevier Ltd. All rights reserved.</t>
  </si>
  <si>
    <t>Res Ctr Julich, ICG 1, D-52425 Julich, Germany; Univ Leicester, Dept Phys &amp; Astron, EOS, SRC, Leicester LE1 7RH, Leics, England</t>
  </si>
  <si>
    <t>Helmholtz Association; Research Center Julich; University of Leicester</t>
  </si>
  <si>
    <t>Res Ctr Julich, ICG 1, D-52425 Julich, Germany.</t>
  </si>
  <si>
    <t>r.spang@fz-juelich.de</t>
  </si>
  <si>
    <t>Riese, Martin/A-3927-2013; Spang, Reinhold/A-2738-2013</t>
  </si>
  <si>
    <t>Riese, Martin/0000-0001-6398-6493; Spang, Reinhold/0000-0002-2483-5761</t>
  </si>
  <si>
    <t>10.1016/j.asr.2005.03.092</t>
  </si>
  <si>
    <t>WOS:000235478400013</t>
  </si>
  <si>
    <t>Cortesi, U; Bianchini, G; Carli, B; Palchetti, L; Trambusti, M; Ade, PAR</t>
  </si>
  <si>
    <t>SAFIRE-A (spectroscopy of the atmosphere by using far-infrared emission-airborne): Assessment of measurement capabilities and future developments</t>
  </si>
  <si>
    <t>ADVANCES IN SPACE RESEARCH</t>
  </si>
  <si>
    <t>polarisation; scattering; far-infrared spectroscopy</t>
  </si>
  <si>
    <t>AIRCRAFT</t>
  </si>
  <si>
    <t>New measurement capabilities of the SAFIRE-A airborne spectrometer, based on a polarisation sensing optical scheme and suitable for investigation of aerosols and clouds properties, have been implemented and tested in a field campaign. The polarisation measuring configuration is described here with respect to the instrument layout for intensity measurements deployed in several scientific missions to study the chemistry and dynamics of the upper troposphere and lowermost stratosphere. First results of the novel experimental set-up, obtained during the APE-GAIA Antarctic campaign, are presented and discussed and possible measurement scenarios, relying on synergistic use of SAFIRE-A intensity and polarisation measuring modes, are envisaged for future applications. (c) 2005 COSPAR. Published by Elsevier Ltd. All rights reserved.</t>
  </si>
  <si>
    <t>CNR, IFAC, I-50127 Florence, Italy; Univ Cardiff Wales, Dept Phys &amp; Astron, Cardiff CF24 3YB, S Glam, Wales</t>
  </si>
  <si>
    <t>Consiglio Nazionale delle Ricerche (CNR); Istituto di Fisica Applicata Nello Carrara (IFAC-CNR); Cardiff University</t>
  </si>
  <si>
    <t>Cortesi, U (corresponding author), CNR, IFAC, Via Panciatichi 64, I-50127 Florence, Italy.</t>
  </si>
  <si>
    <t>u.cortesi@ifac.cnr.it</t>
  </si>
  <si>
    <t>Bianchini, Giovanni/ABD-3585-2020; PALCHETTI, LUCA/O-1270-2015; Cortesi, Ugo/D-2704-2012</t>
  </si>
  <si>
    <t>Bianchini, Giovanni/0000-0002-5400-7721; PALCHETTI, LUCA/0000-0003-4022-8125; Cortesi, Ugo/0000-0002-2827-5239</t>
  </si>
  <si>
    <t>ADV SPACE RES</t>
  </si>
  <si>
    <t>10.1016/j.asr.2005.03.109</t>
  </si>
  <si>
    <t>WOS:000235478400015</t>
  </si>
  <si>
    <t>Lo Giudice, A; Michaud, L; Gentile, G; de Domenico, M; Bruni, V</t>
  </si>
  <si>
    <t>Lo Giudice, A.; Michaud, L.; Gentile, G.; de Domenico, M.; Bruni, V.</t>
  </si>
  <si>
    <t>ECOPHYSIOLOGICAL CHARACTERIZATION OF CULTIVABLE ANTARCTIC PSYCHROTOLERANT MARINE BACTERIA ABLE TO DEGRADE HYDROCARBONS</t>
  </si>
  <si>
    <t>ATTI ACCADEMIA PELORITANA DEI PERICOLANTI-CLASSE DI SCIENZE FISICHE MATEMATICHE E NATURALI</t>
  </si>
  <si>
    <t>TERRA-NOVA BAY; CRUDE-OIL; POLYCHLORINATED-BIPHENYLS; ALCANIVORAX-BORKUMENSIS; LOW-TEMPERATURE; DIESEL OIL; GEN. NOV.; ROSS SEA; BIODEGRADATION; IDENTIFICATION</t>
  </si>
  <si>
    <t>The basic understanding of both the physiology and ecology of psychrotolerant Antarctic bacteria is a crucial step for the optimization of their biodegradative activity in cold environments. The detection of cold-adapted hydrocarbon-degrading bacteria in Antarctic seawaters is certainly of great interest for bioremediative purpose in oil polluted marine Antarctic systems, where the introduction of non native species is not allowed. This study focused on psychrotolerant marine bacteria inhabiting an Antarctic coastal area directly influenced by the human activity at the Italian Research Station (Terra Nova Bay). Fifty bacterial strains were isolated from hydrocarbon-degrading enrichment cultures obtained from seawater samples collected in the inlet Road Bay (Ross Sea). A preliminary Restriction Fragment Length Polymorphism (RFLP) analysis, carried out on 16S rDNA amplified via PCR using RSAI and AluI restriction enzymes, was applied to cluster the isolates according to the restriction profile they showed. One representative isolate per cluster was selected for further characterization; to elucidate their taxonomic position, conventional phenotypic and phylogenetic analyses were performed. Results led to the identification of the isolates as members of ten genera belonging to four phylogenetic groups: the alfa-and gamma-proteobacteria subdivisions, the gram-positive branch and the Cytophaga-Flexibacter-Bacteroides (CFB) phylum. Results indicate a high degree of biodiversity within the peculiar ecophysiological group of the hydrocarbon-degrading marine bacteria.</t>
  </si>
  <si>
    <t>[Lo Giudice, A.; Michaud, L.; Gentile, G.; de Domenico, M.; Bruni, V.] Univ Messina, Dipartimento Biol Anim &amp; Ecol Marina, Salita Sperone 31 V, I-98166 Messina, Italy</t>
  </si>
  <si>
    <t>University of Messina</t>
  </si>
  <si>
    <t>Lo Giudice, A (corresponding author), Univ Messina, Dipartimento Biol Anim &amp; Ecol Marina, Salita Sperone 31 V, I-98166 Messina, Italy.</t>
  </si>
  <si>
    <t>alogiudice@unime.it</t>
  </si>
  <si>
    <t>PNRA (Programma Nazionale di Ricerche in Antartide); Italian Ministry for Education, University and Research</t>
  </si>
  <si>
    <t>PNRA (Programma Nazionale di Ricerche in Antartide); Italian Ministry for Education, University and Research(Ministry of Education, Universities and Research (MIUR))</t>
  </si>
  <si>
    <t>This research was supported by grants from PNRA (Programma Nazionale di Ricerche in Antartide), Italian Ministry for Education, University and Research (PEA 1999 - 2000, Research Project 1.4).</t>
  </si>
  <si>
    <t>ACCAD PELORITANA PERICOLANTI</t>
  </si>
  <si>
    <t>MESSINA</t>
  </si>
  <si>
    <t>PIAZZA PUGLIATTI 1, MESSINA, 98122, ITALY</t>
  </si>
  <si>
    <t>0365-0359</t>
  </si>
  <si>
    <t>1825-1242</t>
  </si>
  <si>
    <t>ATTI ACCAD PELORIT</t>
  </si>
  <si>
    <t>Atti Accad. Pelorit. Pericol.</t>
  </si>
  <si>
    <t>C1A0501004</t>
  </si>
  <si>
    <t>10.1478/C1A0501004</t>
  </si>
  <si>
    <t>V0M1U</t>
  </si>
  <si>
    <t>WOS:000216354100004</t>
  </si>
  <si>
    <t>Cranston, PS; Dimitriadis, S</t>
  </si>
  <si>
    <t>Semiocladius Sublette and Wirth:: taxonomy and ecology of an estuarine midge (Diptera: Chironomidae: Orthocladiinae)</t>
  </si>
  <si>
    <t>AUSTRALIAN JOURNAL OF ENTOMOLOGY</t>
  </si>
  <si>
    <t>Australia; estuary; immature stages; Pacific</t>
  </si>
  <si>
    <t>Semiocladius Sublette and Wirth, described from adult midges from south-western Pacific Ocean shores, has the Australian Camptocladius crassipennis Skuse as its type. Immature stages previously known only from Semiocladius kuscheli Sublette and Wirth from sub-Antarctic New Zealand were associated tentatively, by co-occurrence. For the first time, the immature stages for the Australian species are associated definitively by rearing. Larvae rear to a pupa identical to a speculatively associated exuviae of Semiocladius from Lord Howe Island. Adults conform to the described S. crassipennis. Larval Semiocladius are distinctive and previous diagnoses are confirmed. In contrast, the putatively associated pupa of S. kuscheli is indistinguishable from that of the marine intertidal Thalassosmittia Strenke and Remmert, whereas the newly associated S. crassipennis pupa is distinct. The pupa of S. kuscheli may have been misassociated. Semiocladius live in the mesohaline of the salinity gradient of the Clyde River estuary, south-east Australia and the genus appears to be a distinctive western Pacific saline/mesohaline taxon.</t>
  </si>
  <si>
    <t>Univ Calif Davis, Dept Entomol, Davis, CA 95616 USA; Australian Natl Univ, Div Bot &amp; Zool, Canberra, ACT 0200, Australia</t>
  </si>
  <si>
    <t>University of California System; University of California Davis; Australian National University</t>
  </si>
  <si>
    <t>Cranston, PS (corresponding author), Univ Calif Davis, Dept Entomol, Davis, CA 95616 USA.</t>
  </si>
  <si>
    <t>pscranston@ucdavis.edu</t>
  </si>
  <si>
    <t>Cranston, Peter/0000-0001-7535-9809</t>
  </si>
  <si>
    <t>BLACKWELL PUBLISHING</t>
  </si>
  <si>
    <t>9600 GARSINGTON RD, OXFORD OX4 2DQ, OXON, ENGLAND</t>
  </si>
  <si>
    <t>1326-6756</t>
  </si>
  <si>
    <t>AUST J ENTOMOL</t>
  </si>
  <si>
    <t>Aust. J. Entomol.</t>
  </si>
  <si>
    <t>10.1111/j.1440-6055.2005.00465.x</t>
  </si>
  <si>
    <t>954IM</t>
  </si>
  <si>
    <t>WOS:000231148600005</t>
  </si>
  <si>
    <t>Street, JH; Paytan, A</t>
  </si>
  <si>
    <t>Sigel, A; Sigel, H; Sigel, RKO</t>
  </si>
  <si>
    <t>Street, Joseph H.; Paytan, Adina</t>
  </si>
  <si>
    <t>Iron, phytoplankton growth and the carbon cycle</t>
  </si>
  <si>
    <t>BIOGEOCHEMICAL CYCLES OF ELEMENTS</t>
  </si>
  <si>
    <t>METAL IONS IN BIOLOGICAL SYSTEMS</t>
  </si>
  <si>
    <t>EQUATORIAL PACIFIC-OCEAN; SUB-ARCTIC PACIFIC; ANTARCTIC CIRCUMPOLAR CURRENT; CENTRAL NORTH PACIFIC; DIATOM PHAEODACTYLUM-TRICORNUTUM; ATMOSPHERIC CO2 CONCENTRATIONS; GLACIAL-INTERGLACIAL CHANGES; NORTHWESTERN ATLANTIC-OCEAN; WESTERN MEDITERRANEAN SEA; TRACE-METAL DISTRIBUTIONS</t>
  </si>
  <si>
    <t>Stanford Univ, Dept Geol &amp; Environm Sci, Stanford, CA 94305 USA</t>
  </si>
  <si>
    <t>Stanford University</t>
  </si>
  <si>
    <t>Street, JH (corresponding author), Stanford Univ, Dept Geol &amp; Environm Sci, Braun Hall, Stanford, CA 94305 USA.</t>
  </si>
  <si>
    <t>jstreet@stanford.edu; apaytan@pangea.stanford.edu</t>
  </si>
  <si>
    <t>11 NEW FETTER LANE, LONDON EC4P 4EE, ENGLAND</t>
  </si>
  <si>
    <t>0161-5149</t>
  </si>
  <si>
    <t>978-0-8493-3807-6</t>
  </si>
  <si>
    <t>MET IONS BIOL SYST</t>
  </si>
  <si>
    <t>Metal Ions Biol. Syst.</t>
  </si>
  <si>
    <t>Biochemistry &amp; Molecular Biology; Biology; Biophysics; Chemistry, Inorganic &amp; Nuclear; Geochemistry &amp; Geophysics</t>
  </si>
  <si>
    <t>Biochemistry &amp; Molecular Biology; Life Sciences &amp; Biomedicine - Other Topics; Biophysics; Chemistry; Geochemistry &amp; Geophysics</t>
  </si>
  <si>
    <t>BGE44</t>
  </si>
  <si>
    <t>WOS:000246316300007</t>
  </si>
  <si>
    <t>Whinam, J; Chilcott, N; Bergstrom, DM</t>
  </si>
  <si>
    <t>Subantarctic hitchhikers: expeditioners as vectors for the introduction of alien organisms</t>
  </si>
  <si>
    <t>BIOLOGICAL CONSERVATION</t>
  </si>
  <si>
    <t>alien species invasive species; exotic species South Ocean; island conservation</t>
  </si>
  <si>
    <t>SOUTHERN-OCEAN ISLANDS; IMPACT; BIODIVERSITY; VEGETATION; ECOSYSTEM; SUCCESS</t>
  </si>
  <si>
    <t>Subantarctic islands have depauperate floras and faunas. When combined with recent changes in climate, these factors increase the likelihood of alien species establishing in the subantarctic. Cargo, food and expeditioners in transit to the subantarctic as part of the Australian Antarctic Program (AAP) were inspected to determine their potential as vectors for alien species. All cargo items were found to have the potential to act as vectors for alien species introductions. Cargo containers were found to harbour plant material, seeds and spider webs. A major potential source of contamination is transport used on resupply expeditions for ship to shore transfers. The presence of large numbers of littoral organisms on the bottom of a barge highlighted the real risk of a potential pathway for the introduction of marine taxa. Insect infestation, scale, fungal infection and the presence of soil were all problems associated with the provision of fresh food to subantarctic stations. Equipment identified as high risk vectors included equipment cases, day packs and the cuffs and Velcro(R) closures of outer clothing. Many expeditioners had travelled overseas in the six months prior to embarkation and had recently visited alpine or high latitude environments. A total of 981 propagules and five moss shoots were collected from clothing and equipment of 64 expeditioners. Ninety species from 15 families were identified, most of which were grass caryopses. Asteraceae and Poaceae contained the greatest diversity of propagules. In germination trials a total of 163 plants (24 species) were identified. A risk assessment was prepared to determine issues posing a threat to subantarctic quarantine and assess possible logistic and management changes to minimise these threats. Many changes suggested have since been implemented resulting in a reduction in the number of alien species recorded in subsequent inspections. (C) 2004 Published by Elsevier Ltd.</t>
  </si>
  <si>
    <t>Dept Primary Ind Water &amp; Environm, Nat Conservat Branch, Hobart, Tas 7001, Australia; Australian Antarctic Div, Australian Govt, Dept Environm &amp; Heritage, Kingston, Tas 7150, Australia</t>
  </si>
  <si>
    <t>Whinam, J (corresponding author), Dept Primary Ind Water &amp; Environm, Nat Conservat Branch, GPO Box 44, Hobart, Tas 7001, Australia.</t>
  </si>
  <si>
    <t>Jennie.Whinam@dpiwe.tas.gov.au</t>
  </si>
  <si>
    <t>Bergstrom, Dana/0000-0001-8484-8954</t>
  </si>
  <si>
    <t>0006-3207</t>
  </si>
  <si>
    <t>BIOL CONSERV</t>
  </si>
  <si>
    <t>Biol. Conserv.</t>
  </si>
  <si>
    <t>10.1016/j.biocon.2004.04.020</t>
  </si>
  <si>
    <t>857RC</t>
  </si>
  <si>
    <t>WOS:000224135000006</t>
  </si>
  <si>
    <t>Orasanu, J; Tada, Y; Kraft, N; Fischer, U</t>
  </si>
  <si>
    <t>Caldwell, JA; Wesensten, NJ</t>
  </si>
  <si>
    <t>Physiological monitoring of team and task stressors</t>
  </si>
  <si>
    <t>BIOMONITORING FOR PHYSIOLOGICAL AND COGNITIVE PERFORMANCE DURING MILITARY OPERATIONS</t>
  </si>
  <si>
    <t>Proceedings of SPIE</t>
  </si>
  <si>
    <t>Conference on Biomonitoring for Physiological and Cognitive Performance during Military Operations</t>
  </si>
  <si>
    <t>MAR 31-APR 01, 2005</t>
  </si>
  <si>
    <t>Orlando, FL</t>
  </si>
  <si>
    <t>team stress; physiological measures of stress; team performance; predictive performance models</t>
  </si>
  <si>
    <t>Sending astronauts into space, especially on long-durations missions (e.g. three-year missions to Mars), entails enormous risk. Threats include both physical dangers of radiation, bone loss and other consequences of weightlessness, and also those arising from interpersonal problems associated with extended life in a high-risk isolated and confined environment. Before undertaking long-duration missions, NASA seeks to develop technologies to monitor indicators of potentially debilitating stress at both the individual and team level so that countermeasures can be introduced to prevent further deterioration. Doing so requires a better understanding of indicators of team health and performance. To that end, a study of team problem solving in a simulation environment was undertaken to explore effects of team and task stress. Groups of four males (25-45 yrs) engaged in six dynamic computer-based Antarctic search and rescue missions over four days. Both task and team stressors were manipulated. Physiological responses (ECG, respiration rate and amplitude, SCL, EMG, and PPG); communication (voice and email); individual personality and subjective team dynamics responses were collected and related to task performance. Initial analyses found that physiological measures can be used to identify transient stress, predict performance, and reflect subjective workload. Muscle tension and respiration were the most robust predictors. Not only the level of arousal but its variability during engagement in the task is important to consider. In general, less variability was found to be associated with higher levels of performance. Individuals scoring high on specific personality characteristics responded differently to task stress.</t>
  </si>
  <si>
    <t>NASA, Ames Res Ctr, Menlo Pk, CA 94025 USA</t>
  </si>
  <si>
    <t>National Aeronautics &amp; Space Administration (NASA); NASA Ames Research Center</t>
  </si>
  <si>
    <t>Orasanu, J (corresponding author), NASA, Ames Res Ctr, Mail Stop 262-4, Menlo Pk, CA 94025 USA.</t>
  </si>
  <si>
    <t>Judith.Orasanu@nasa.gov</t>
  </si>
  <si>
    <t>1996-756X</t>
  </si>
  <si>
    <t>0-8194-5782-5</t>
  </si>
  <si>
    <t>PROC SPIE</t>
  </si>
  <si>
    <t>10.1117/12.604424</t>
  </si>
  <si>
    <t>Behavioral Sciences; Instruments &amp; Instrumentation; Physiology</t>
  </si>
  <si>
    <t>BCR90</t>
  </si>
  <si>
    <t>WOS:000230979900020</t>
  </si>
  <si>
    <t>Amsler, CD; Okogbue, IN; Landry, DM; Amsler, MO; McClintock, JB; Baker, BJ</t>
  </si>
  <si>
    <t>Potential chemical defenses against diatom fouling in Antarctic macroalgae</t>
  </si>
  <si>
    <t>BOTANICA MARINA</t>
  </si>
  <si>
    <t>Antarctica; biofouling; chemical defenses; diatoms; macroalgal ecology</t>
  </si>
  <si>
    <t>MARINE MACROALGAE; BIOMASS</t>
  </si>
  <si>
    <t>Crude extracts of Antarctic macroalgae were examined for toxicity to model strains of sympatric diatoms that could potentially foul them in nature. This is an initial step in determining the potential for ecologically relevant macroalgal defenses against fouling. Extracts of two species collected from McMurdo Sound were toxic to diatoms at or below concentrations originally present in the macroalgal thalli (the natural concentration). At least one extract type of all 22 western Antarctic Peninsula macroalgae was toxic at three-times the natural concentration and at least one extract type in 15 of these species was toxic at the natural concentration.</t>
  </si>
  <si>
    <t>Univ Alabama Birmingham, Dept Biol, Birmingham, AL 35294 USA; Univ S Florida, Dept Chem, Tampa, FL 33620 USA</t>
  </si>
  <si>
    <t>University of Alabama System; University of Alabama Birmingham; State University System of Florida; University of South Florida</t>
  </si>
  <si>
    <t>amsler@uab.edu</t>
  </si>
  <si>
    <t>WALTER DE GRUYTER GMBH</t>
  </si>
  <si>
    <t>BERLIN</t>
  </si>
  <si>
    <t>GENTHINER STRASSE 13, D-10785 BERLIN, GERMANY</t>
  </si>
  <si>
    <t>0006-8055</t>
  </si>
  <si>
    <t>1437-4323</t>
  </si>
  <si>
    <t>BOT MAR</t>
  </si>
  <si>
    <t>Bot. Marina</t>
  </si>
  <si>
    <t>10.1515/BOT.2005.041</t>
  </si>
  <si>
    <t>981VZ</t>
  </si>
  <si>
    <t>WOS:000233117400007</t>
  </si>
  <si>
    <t>Lambert, G</t>
  </si>
  <si>
    <t>Ecology and natural history of the protochordates</t>
  </si>
  <si>
    <t>ASCIDIAN CIONA-INTESTINALIS; GEGENBAURI ULJANIN TUNICATA; LARVAL BEHAVIOR; SPICULE FORMATION; BRANCHIOSTOMA-FLORIDAE; SOLITARY ASCIDIANS; PYURA-PRAEPUTIALIS; CHEMICAL DEFENSE; FEEDING-BEHAVIOR; CNEMIDOCARPA-VERRUCOSA</t>
  </si>
  <si>
    <t>The last comprehensive reviews of ecology and natural history of ascidians were included in the excellent 1971 publication by Millar on the biology of ascidians and the 1991 treatise on New Caledonia ascidians by Monniot, Monniot, and Laboute. Several hundred papers have been published since that time, greatly expanding our knowledge of environmental tolerances and responses to increasing levels of anthropogenically derived toxins in marine waters, energetics and feeding strategies, predator-prey relationships, competition both intra- and inter-specific that include many studies of self-nonself recognition in colonial species, modes and environmental regulation of reproduction and development, symbionts, natural-product chemistry as antifouling and antipredator defenses, and dispersal mechanisms. The relatively new field of molecular genetics is revealing the presence of cryptic species and is helping to determine the origin of anthropogenically transported individuals, an important and growing problem that affects natural ecological relationships in marine communities worldwide. We are learning more about the difficult-to-study abyssal and Antarctic species. There have been great advances in our understanding of the importance in open-ocean food webs of the planktonic Appendicularia and Thaliacea. Also included in this review is a brief discussion of recent work on the Cephalochordata and Hemichordata.</t>
  </si>
  <si>
    <t>Univ Washington, Friday Harbor Labs, Friday Harbor, WA 98250 USA</t>
  </si>
  <si>
    <t>University of Washington</t>
  </si>
  <si>
    <t>12001 11th Ave, Seattle, WA 98177 USA.</t>
  </si>
  <si>
    <t>glambert@fullerton.edu</t>
  </si>
  <si>
    <t>Lambert, Gretchen/HGA-3328-2022; Langhamer, Olivia/J-3425-2012</t>
  </si>
  <si>
    <t>10.1139/Z04-156</t>
  </si>
  <si>
    <t>930JM</t>
  </si>
  <si>
    <t>WOS:000229412000004</t>
  </si>
  <si>
    <t>Kawaguchi, S; Candy, S; Nicol, S; Taki, K; Naganobu, M</t>
  </si>
  <si>
    <t>Analysis of trends in Japanese krill fishery CPUE data, and its possible use as a krill abundance index</t>
  </si>
  <si>
    <t>CCAMLR SCIENCE</t>
  </si>
  <si>
    <t>krill fishery; krill fishery strategy; standardised CPUE; catch-per-unit effort; searching time; krill abundance; krill density; krill fishery information; CCAMLR</t>
  </si>
  <si>
    <t>SOUTH SHETLAND ISLANDS; ACOUSTIC SURVEYS; DENSITY</t>
  </si>
  <si>
    <t>Haul-by-haul logbook catch and effort data from the Japanese krill fishery for the 1980/81 to 2003/04 fishing seasons were analysed. For a number of definitions of effort and catch-per-unit-effort (CPUE), variables were modelled using linear mixed models in order to obtain time series of predicted intra- and interannual trends of standardised fishery indices. The results strongly suggest that the krill fishery in the South Georgia area is operating at a critical level of krill availability which is just enough to maintain the best factory performance. In this analysis the status of fishing in Subareas 48.1 and 48.2 was not clear. A linear correlation was observed between 'catch per searching time' and 'catch per day' within their lower ranges, suggesting these may have some value as abundance indices. Standardised CPUE for the pelagic areas showed significant correlations with previously published interannual series of acoustic density estimates from scientific surveys. To refine these CPUE indices, it will be necessary to collect more detailed information from fishing vessels. It is also important to undertake the same kind of analysis for fleets from other fishing nations.</t>
  </si>
  <si>
    <t>Australian Antarctic Div, Dept Environm &amp; Heritage, Kingston, Tas 7050, Australia; Natl Res Inst Far Seas Fisheries, Shimizu Ku, Shizuoka 4248633, Japan</t>
  </si>
  <si>
    <t>Australian Antarctic Division; Japan Fisheries Research &amp; Education Agency (FRA)</t>
  </si>
  <si>
    <t>Australian Antarctic Div, Dept Environm &amp; Heritage, Channel Highway, Kingston, Tas 7050, Australia.</t>
  </si>
  <si>
    <t>so.kawaguchi@aad.gov.au</t>
  </si>
  <si>
    <t>C C A M L R TI</t>
  </si>
  <si>
    <t>NORTH HOBART</t>
  </si>
  <si>
    <t>PO BOX 213, NORTH HOBART, TAS 7002, AUSTRALIA</t>
  </si>
  <si>
    <t>1023-4063</t>
  </si>
  <si>
    <t>CCAMLR SCI</t>
  </si>
  <si>
    <t>CCAMLR Sci.</t>
  </si>
  <si>
    <t>985OE</t>
  </si>
  <si>
    <t>WOS:000233386600002</t>
  </si>
  <si>
    <t>Smith, PJ; Gaffney, PM</t>
  </si>
  <si>
    <t>Low genetic diversity in the antarctic toothfish (Dissostichus mawsoni) observed with mitochondrial and intron DNA markers</t>
  </si>
  <si>
    <t>Dissostichus mawsoni; mitochondrial DNA; introns; stock structure; CCAMLR</t>
  </si>
  <si>
    <t>KRILL EUPHAUSIA-SUPERBA; POPULATION-STRUCTURE; PATAGONIAN TOOTHFISH; CHAMPSOCEPHALUS-GUNNARI; FISHES; PRIMERS; ORIGIN; SECTOR; WATERS; OCEAN</t>
  </si>
  <si>
    <t>Two molecular methods, mitochondrial and intron DNA markers, were used to determine genetic relationships among Antarctic toothfish (Dissostichus mawsoni) samples from three CCAMLR areas: Subareas 48.1 and 88.1 and Division 58.4.2. D. mawsoni appeared to be characterised by low diversity; no genetic variation was detected with restriction enzyme digests of nine sub-regions of the mitochondrial genome. Polymorphisms were found in four of seven introns digested with the restriction enzymes, but there was no population differentiation among the three sea areas. Direct sequencing of cytochrome b (665 bp) and the left domain of the control region (639 bp) showed very little variation and no significant genetic differentiation among sea areas.</t>
  </si>
  <si>
    <t>Natl Inst Water &amp; Atmospher Res Ltd, Wellington, New Zealand; Univ Delaware, Coll Marine Studies, Lewes, DE 19958 USA</t>
  </si>
  <si>
    <t>National Institute of Water &amp; Atmospheric Research (NIWA) - New Zealand; University of Delaware</t>
  </si>
  <si>
    <t>Natl Inst Water &amp; Atmospher Res Ltd, Private Bag 14901, Wellington, New Zealand.</t>
  </si>
  <si>
    <t>p.smith@niwa.co.nz</t>
  </si>
  <si>
    <t>WOS:000233386600004</t>
  </si>
  <si>
    <t>Sabourenkov, EN; Appleyard, E</t>
  </si>
  <si>
    <t>Scientific observations in CCAMLR fisheries - Past, present and future</t>
  </si>
  <si>
    <t>scientific observation; CCAMLR Convention Area; international observers; seabirds; marine mammals; marine living resources; CCAMLR</t>
  </si>
  <si>
    <t>CCAMLR has the primary competency for managing fishing south of the Antarctic Polar Front. Despite a relatively long history of scientific research and fisheries, CCAMLR's fisheries management strategy has often had to deal with incomplete and uncertain information on affected resources. Fishery-in dependent studies are difficult and expensive to conduct. In addition, the size of the Convention Area, its remoteness and prevailing inclement weather further complicate matters. Therefore, in addition to the standard catch and effort data supplied by vessels, the collection of data by scientifically qualified observers on board fishing vessels has assumed prominence in the collection of essential data for fisheries management purposes. The Scheme of International Scientific Observation, adopted by CCAMLR in 1992, is designed to gather and validate fishery-related information essential for assessing the status of target species as well as the impact of fishing on dependent and related species, including seabirds and marine mammals. The scheme is limited to scientific observation only and is separate from enforcement issues which are covered by the CCAMLR System of Inspection. Under the scheme, observers are deployed under bilateral agreements between CCAMLR Members and they operate on vessels under flags other than that of their own country. This paper outlines the history of the scheme in terms of its logistics, participation, coverage, changes in research priorities, volume of data collected and data usage. The advantages and shortcomings of the scheme are explored.</t>
  </si>
  <si>
    <t>CCAMLR Secretariat, Hobart, Tas 7002, Australia</t>
  </si>
  <si>
    <t>CCAMLR Secretariat, POB 213, Hobart, Tas 7002, Australia.</t>
  </si>
  <si>
    <t>eugene@ccamlr.org</t>
  </si>
  <si>
    <t>WOS:000233386600006</t>
  </si>
  <si>
    <t>Constable, AJ</t>
  </si>
  <si>
    <t>A possible framework in which to consider plausible models of the Antarctic marine ecosystem for evaluating krill management procedures</t>
  </si>
  <si>
    <t>ecosystem model; uncertainty; management strategy evaluation; management procedure; krill; CCAMLR</t>
  </si>
  <si>
    <t>MANAGING FISHERIES; SOUTH-GEORGIA; CONSERVATION; PREDATORS; ABUNDANCE</t>
  </si>
  <si>
    <t>CCAMLR is developing a management procedure for the krill fishery, including the evaluation of candidate management procedures in a simulation framework, using plausible models of the Antarctic marine ecosystem. This paper develops a framework for erecting such models. It discusses the general model requirements and presents a conceptual framework for allowing flexibility in dealing with biological, spatial and temporal scales. The body of the paper is concerned with conceptualising an element of the ecosystem to account for the varying qualities of data and knowledge and for exploring the consequences of uncertainty.</t>
  </si>
  <si>
    <t>andrew.constable@aad.gov.au</t>
  </si>
  <si>
    <t>WOS:000233386600007</t>
  </si>
  <si>
    <t>Ball, I</t>
  </si>
  <si>
    <t>An alternative method for estimating the level of illegal fishing using simulated scaling methods on detected effort</t>
  </si>
  <si>
    <t>IUU fishing; estimation of illegal/IUU fishing; encounter probability; simulation modelling; CCAMLR</t>
  </si>
  <si>
    <t>A new method for estimating illegal fishing effort is put forward. The results from this new method are similar to those of the Agnew and Kirkwood (2005) method, and this suggests that the current method is adequate under circumstances of low evasion and when good knowledge exists that zero observations reflect zero illegal fishing. The new 14 method performs better in the case of zero detections and can potentially better handle the evasion of detection by illegal activity. Both the new and the current method suffer from the fact that the observation method used directly affects the system. This is the prevention/detection problem, in which the greater the number of detections for a given level of illegal fishing, the more often the illegal fishers will curtail their fishing trips. This leads to a negative correlation between the amount of fishing and the estimated amount of fishing for a given number of illegal cruises. As the number of illegal cruises increases, both the estimate and the average amount of illegal fishing increase. This gives some confidence that the method can produce results that have a degree of legitimacy. However, the range of actual fishing (in the simulation datasets) for a given estimated level of fishing is very large. This range of uncertainty increases as the evasion rate increases. This research suggests that it would be possible to calculate a precautionary assessment of illegal fishing such that the actual number of illegal fishing days is less than, or equal to, the precautionary assessment with some given level of confidence (for example 80%).</t>
  </si>
  <si>
    <t>Ball, I (corresponding author), Australian Antarctic Div, Dept Environm &amp; Heritage, Channel Highway, Kingston, Tas 7050, Australia.</t>
  </si>
  <si>
    <t>ian.ball@aad.gov.au</t>
  </si>
  <si>
    <t>WOS:000233386600009</t>
  </si>
  <si>
    <t>Taki, K; Hayashi, T; Naganobu, M</t>
  </si>
  <si>
    <t>Characteristics of seasonal variation in diurnal vertical migration and aggregation of Antarctic krill (Euphausia superba) in the Scotia Sea, using Japanese fishery data</t>
  </si>
  <si>
    <t>Antarctic krill; CPUE; Japanese fishery data; Scotia Sea; trawling depth; vertical distribution; CCAMLR</t>
  </si>
  <si>
    <t>ICE</t>
  </si>
  <si>
    <t>Seasonal variation in the diurnal vertical migration and aggregation of Antarctic krill (Euphausia superba) associated with the daylight phase over the diurnal cycle (i.e. brightness categories) was examined for the Scotia Sea (South Shetland Islands (SS), South Orkney Islands (SO) and South Georgia (SG) areas) using Japanese fishery data. Average trawling depth usually showed a marked diurnal change during summer and winter in SS and SO. Daily average trawling depth tended to be shallower during austral summer and early autumn, deepened gradually from autumn and reached maximum depth in winter in the Scotia Sea, shifting to shallower depths again in early spring. The average catch-per-unit-effort (CPUE) was highest during the day and lowest at night in autumn and winter in each area, but lower during the day in summer in SS and SO. It is suggested that the seasonal and diurnal changes in vertical migration and aggregation of krill are closely related to its feeding and spawning ecology and avoidance of visual predators.</t>
  </si>
  <si>
    <t>Natl Res Inst Far Seas Fisheries, Shimizu Ku, Shizuoka 4248633, Japan</t>
  </si>
  <si>
    <t>Japan Fisheries Research &amp; Education Agency (FRA)</t>
  </si>
  <si>
    <t>Taki, K (corresponding author), Natl Res Inst Far Seas Fisheries, Shimizu Ku, 5-7-1 Orido, Shizuoka 4248633, Japan.</t>
  </si>
  <si>
    <t>takisan@affrc.go.jp</t>
  </si>
  <si>
    <t>WOS:000233386600010</t>
  </si>
  <si>
    <t>Francis, MP; O Maolagáin, C</t>
  </si>
  <si>
    <t>Age and growth of the Antarctic skate (Amblyraja georgiana) in the Ross Sea</t>
  </si>
  <si>
    <t>Amblyraja georgiana; growth; caudal thorns; sexual maturity; longevity; Ross Sea; CCAMLR</t>
  </si>
  <si>
    <t>EXTINCTION; VALIDATION</t>
  </si>
  <si>
    <t>X-rays of vertebral half-centra, and x-rays and transmitted white light examination of caudal thorns, were used to estimate the ages of the Antarctic skate (Amblyraja georgiana) from the Ross Sea. Caudal thorns viewed with transmitted white light provided the clearest growth bands, but reading precision was low, producing uncertain age estimates. Furthermore, annual deposition of thorn bands has not been validated. The maximum estimated age was 14 years, but this should be regarded as a conservative estimate of longevity because of the possibility that thorn growth ceases in large individuals. There was no obvious difference in growth between the sexes, so the von Bertalanffy curve for both sexes provides the best available representation of growth in the species: L-t= 70.8 ( 1 - e(-0-308[t+1.10])), where L-t is the pelvic length (PL) in centimetres at age t years. Applying this growth curve to the estimated lengths at maturity for males and females (64 and 66-69 cm PL respectively) produced estimated ages at maturity of 6-7 years for males and 8-11 years for females. These estimates are near the middle to upper end of the range of ages at maturity for skates worldwide. The results of this study are preliminary and should be used with caution. Further work is needed to determine whether the thorn ageing technique presented here produces reproducible and reliable age estimates.</t>
  </si>
  <si>
    <t>NIWA Ltd, Wellington, New Zealand</t>
  </si>
  <si>
    <t>Francis, MP (corresponding author), NIWA Ltd, Private Bag 14-901, Wellington, New Zealand.</t>
  </si>
  <si>
    <t>m.francis@niwa.co.nz</t>
  </si>
  <si>
    <t>WOS:000233386600012</t>
  </si>
  <si>
    <t>Abellán, LJL</t>
  </si>
  <si>
    <t>Patagonian toothfish in international waters of the southwest Indian Ocean (statistical Area 51)</t>
  </si>
  <si>
    <t>Dissostichus eleginoides; geographical distribution; population structure; Area 51; Indian Ocean; CCAMLR</t>
  </si>
  <si>
    <t>Experimental fishing for Patagonian toothfish (Dissosticlus eleginoides) took place from 28 June to 27 July 2003. This experiment was carried out by a Spanish longliner, following commercial fishing procedures, in a restricted area south of Madagascar and north of Prince Edward and Marion Islands and the Crozet Islands, outside EEZs and CCAMLR waters. A total of 57 hauls was made at depths between 360 and 1950 m. D. eleginoides was present in all hauls, with catches varying from 53 to 1158 kg. The northward distribution of D. eleginoides is closely related to the extension of the Sub-Antarctic Front, and especially the intermediate layer of sub-Antarctic water masses, which defines the area of D. eleginoides toothfish distribution. The survey area would seem to be located at the edge of the principal area of D. eleginoides concentration, in which a residual recruitment effect persists. The total CPUE was 42.21 kg/thousand hooks. Within the study area, depth was the most important factor in the distribution of CPUE of D. eleginoides.</t>
  </si>
  <si>
    <t>Ctr Oceanog Canarias, Inst Espanol Oceanog, Tenerife, Spain</t>
  </si>
  <si>
    <t>Spanish Institute of Oceanography</t>
  </si>
  <si>
    <t>Ctr Oceanog Canarias, Inst Espanol Oceanog, Ctra San Andres 45, Tenerife, Spain.</t>
  </si>
  <si>
    <t>luis.lopez@ca.ieo.es</t>
  </si>
  <si>
    <t>WOS:000233386600014</t>
  </si>
  <si>
    <t>Boyle, P; Rodhouse, P</t>
  </si>
  <si>
    <t>Boyle, Peter; Rodhouse, Paul</t>
  </si>
  <si>
    <t>Cephalopods Ecology and Fisheries Introduction</t>
  </si>
  <si>
    <t>CEPHALOPODS: ECOLOGY AND FISHERIES</t>
  </si>
  <si>
    <t>Editorial Material; Book Chapter</t>
  </si>
  <si>
    <t>[Boyle, Peter] Univ Aberdeen, Aberdeen AB9 1FX, Scotland; [Rodhouse, Paul] British Antarctic Survey, Cambridge, England</t>
  </si>
  <si>
    <t>University of Aberdeen; UK Research &amp; Innovation (UKRI); Natural Environment Research Council (NERC); NERC British Antarctic Survey</t>
  </si>
  <si>
    <t>Boyle, P (corresponding author), Univ Aberdeen, Aberdeen AB9 1FX, Scotland.</t>
  </si>
  <si>
    <t>BLACKWELL SCIENCE PUBL</t>
  </si>
  <si>
    <t>OSNEY MEAD, OXFORD OX2 0EL, ENGLAND</t>
  </si>
  <si>
    <t>978-0-47099-531-0; 978-0-632-06048-1</t>
  </si>
  <si>
    <t>10.1002/9780470995310</t>
  </si>
  <si>
    <t>BYB11</t>
  </si>
  <si>
    <t>WOS:000297803900002</t>
  </si>
  <si>
    <t>Form and function</t>
  </si>
  <si>
    <t>The cephalopods share basic features of body organisation with other molluscs. Characteristically, the molluscan shell is lost or highly reduced to an internal remnant (except in Nautilus), which in the sepioids still provides a buoyancy organ. Cephalopods are active mobile predators, swimming by means of jet propulsion and fin undulations, or rapidly scrambling by strong suckered arms. All cephalopods are predators, capturing and holding live prey with arms and tentacles (squids and cuttlefish). The basic feeding apparatus is a pair of tough horny mandibles ('beaks') and a typical molluscan radula. Octopuses have elaborate prey-handling mechanisms which involve injection of their prey with a cocktail of toxins and enzymes. Urine is formed by ultrafiltration, and the excretory cells surround the lateral venae cavae and parts of the return venous circulation. Respiration occurs through a pair of well-vascularised gills suspended in the mantle cavity. Oxygenated blood is coloured blue due to the copper-containing respiratory pigment haemocyanin. In addition to the muscular systemic heart, contractile bulbs at the base of each gill (the branchial hearts) and contractile blood vessels contribute to a strong blood circulatory system. As in other molluscs, the central nervous system is arranged around the oesophagus. It is highly developed and concentrated into a brain in which there is considerable division of function. Sense organs, particularly the eyes and organs of balance (statocysts), are highly developed. With the exception of nautiluses, all cephalopods have pigmented cells in the skin that are capable of expansion by muscular action and elastic retraction. This system of pattern formation by chromato-phores, coupled with luminescent organs in deep-water animals, the capability for expulsion of ink clouds, and their extreme ability to alter shape and texture contribute to making the cephalopods among the most scientifically exciting of marine animals to study.</t>
  </si>
  <si>
    <t>WOS:000297803900003</t>
  </si>
  <si>
    <t>Cephalopods Ecology and Fisheries Preface</t>
  </si>
  <si>
    <t>IX</t>
  </si>
  <si>
    <t>WOS:000297803900001</t>
  </si>
  <si>
    <t>Origin and evolution</t>
  </si>
  <si>
    <t>The cephalopods evolved in the Cambrian era from an ancestral benthic mollusc. Through the evolution of neutral buoyancy, they could occupy the water column and acquire a whole new adaptive zone, radiating into forms with little resemblance to their molluscan ancestors. The early cephalopods had a shell with gas-filled flotation chambers and a living chamber. As their dependence on the seabed decreased, the primitive molluscan foot became transformed into arms and tentacles and into the flexible muscular funnel capable of directing water derived from the powerful ventilation system for the gills to form a jet propulsion mechanism. It is clear that the arms and funnel arose from the primitive molluscan foot. For much of their evolutionary history, the cephalopods comprised mostly the shelled nautiloids and ammonoids, but in the Jurassic the coleoids, with a much reduced or absent shell, started to diversify, radiating and becoming predominant in the Tertiary. The living ten-armed and eight-armed squid and octopus may have arisen from a stem group, the Phragmoteuthida, which became extinct in the Jurassic. The cephalopods have probably been carnivorous since their early origins. The forms which dominate the fossil record are likely to have relied on slow-moving or sessile prey, and on their heavy external shell to resist predation. The radiation of predatory fish and reptiles in the Mesozoic apparently displaced the shelled cephalopods into deeper water, where the depth limits imposed by the low-pressure gas spaces in the shell directed evolution towards progressive shell loss. This was the starting point for the evolution of the modern coleoids (the Neocoleoidea), which then re-invaded shallow water. With the reduction of the shell the coleoids, other than Spirula and the cuttlefish, traded buoyancy for speed and consequently greatly increased their metabolic costs. These new demands were met by the evolution of more complex gills with increased diffusion capacity, higher-output hearts and faster digestive processes. As they swam faster and became more manoeuvrable, they evolved more sophisticated sensory systems, especially eyes, and larger brains to analyse and act on these capabilities. They also became faster growing and have adopted semelparous (unicyclic) reproductive patterns. Some living neocoleoids have secondarily become less active and use more efficient fins for slow swimming, and have buoyancy systems which are based on the retention of ammonium salts coupled with reduced musculature.</t>
  </si>
  <si>
    <t>WOS:000297803900004</t>
  </si>
  <si>
    <t>Nautilus: the survivor</t>
  </si>
  <si>
    <t>The pearly nautilus is a survivor of the previously abundant ectocochleate (shelled) cephalopods. Although the modern species are not of ancient origin (1-5 million years), they are direct descendants of the fossil forms. The shell is chambered and mostly gas-filled to provide near-neutral buoyancy. The five extant species are limited to the tropical Indo-Pacific ocean, where they are characteristic fauna of the outer reef face. Distributed vertically over a normal depth range of 70-500 m, they migrate closer to the surface at night. They appear to be mostly scavengers relying on chemoreception for food detection. They consume a high proportion of crustacean moults in their diet, and perhaps are also opportunistic predators. They are slow growing, taking from about 5-6 years to 11-15 years (depending on species and locality) to reach sexual maturity. Total longevity is unknown, but it is presumed that adult animals breed seasonally for several years after maturity (polycyclic). Fecundity is low with 10-20 large (25-30 mm) eggs per breeding season. In conditions of low oxygen concentration, the nautilus can suppress its anaerobic metabolism to 4-8% of that of the rate at normal oxygen levels, and this capability is the basis for an energy-conservative lifestyle. Consumption fisheries are limited to local markets in the Philippines and New Caledonia; capture for the shell trade and the supply of live specimens for aquarium display is quantitatively more significant.</t>
  </si>
  <si>
    <t>WOS:000297803900005</t>
  </si>
  <si>
    <t>Biodiversity and zoogeography</t>
  </si>
  <si>
    <t>The classification and grouping of cephalopod species is in a relatively unsettled state. There is a poor fossil record of the living forms, many are difficult to catch and specimens are often damaged, leading to loss of taxonomic characters and poor representation in museum collections. Global interest in biodiversity in relation to global change, and the development of molecular genetic markers, has brought a renewed interest in the field, but still over 50% of the cephalopod fishery catch is not identified to species. New species continue to be found, and there are probably many more awaiting discovery. There are two sub-classes of living cephalopods, the shelled Nautiloidea and the Coleoidea, which includes all other living families. The simplest classification of the Coleoidea recognises four orders: the cuttlefish and related families (Sepioidea), squid (Teuthida), vampire squid (Vampyromorphida) and octopuses (Octopodida). More detailed classifications differ in how the Sepioidea and Octopodida are subdivided. Advances in molecular genetics are providing clarification of relationships at various taxonomic levels.</t>
  </si>
  <si>
    <t>WOS:000297803900006</t>
  </si>
  <si>
    <t>Life cycle</t>
  </si>
  <si>
    <t>The living coleoid cephalopods are monocyclic, single-season breeders. They may produce their eggs in successive batches within one season, but there are no known cases of individuals breeding repeatedly in successive seasons. They have short lives, &lt;1-2 years in most cases, with only some exceptionally large or cold-water species living longer. This pattern holds for coastal octopuses, cuttlefish and squid, but the generalisations are based on knowledge of a few species from selected families. Within a species there may be several breeding groups, and there is evidence for the alternation of long-and short-generation life cycles. In such species, the early part of the breeding population in one year gives rise to offspring breeding in the following year; offspring from those breeding late in the season may not be mature by the next breeding season, but contribute to the early breeders of the following year. Plasticity in life cycles in response to environmental conditions arises from variations in development time, growth rate, timing of breeding and mode of spawning. Commonly, there are annual migrations between breeding and feeding grounds, but information on the presumed return migrations is limited.</t>
  </si>
  <si>
    <t>WOS:000297803900007</t>
  </si>
  <si>
    <t>Growth</t>
  </si>
  <si>
    <t>Individual growth rates of living coleoid cephalopods are relatively high in both laboratory and field conditions. The high growth rate is sustained by high feeding rates and an exceptionally efficient conversion of food into somatic growth. Measurements of growth are expressed by mantle length (preferred for squid and fishery studies) or weight. Methods for the ageing of squid from daily incremental lines in the statoliths provide the main tool for the assessment of growth in field populations. The length of the squid gladius is virtually the same as the mantle length, and the measurement of incremental lines on the gladius provides an additional means of reading the growth history of individuals. Such methods are not generally available for cuttlefish and octopus. Age-length keys for cephalopods are unreliable, and demographic methods of estimating the growth of populations in the field are subject to biases of immigration-emigration and of gear selectivity. Growth studies in culture conditions have shown that coleoid cephalopod growth can be modelled as a two-stage process, an exponential phase followed by a logarithmic phase. The size at which the transition takes place, and its timing in the life cycle, is variable and not well defined. With some exceptions, such as the cirromorph octopods, growth is concluded by sexual maturation. Growth rate is strongly influenced by temperature. A consequence of this is that later-hatched broods of paralarvae may grow faster and overtake those already hatched. The interaction between the timing of hatching and the optimum conditions for growth is therefore a critical factor determining recruitment success. Allometric growth relationships between somatic, reproductive and digestive components change during ontogeny owing to relative states of maturity development or nutritional status.</t>
  </si>
  <si>
    <t>WOS:000297803900008</t>
  </si>
  <si>
    <t>Physiological ecology</t>
  </si>
  <si>
    <t>Physiological ecology is the study of energy transformations in whole animals which provides information on growth and metabolic processes in relation to the environment, and insights into evolution, especially the optimisation process which trades off reproductive output against the other energy requirements of the organism. Energy consumed in the food is utilised for growth, reproduction and metabolism, and is lost as excreta and in the faeces. No cephalopod study to date has measured all components of the energy budget at the same time, but there are enough studies of different aspects to allow preliminary composite budgets to be constructed. The feeding rate in cephalopods is primarily controlled by temperature and body size. A 10 degrees C change in temperature alters the feeding rate by a factor of two or more. The relative feeding rate declines with increasing body mass. Most coleoids grow relatively fast, and the allocation of energy to gonad growth is delayed until relatively late in the life cycle. The reproductive effort is lower than theory would expect for short-lived, semelparous organisms, and this appears to be related to the low mortality rates in cephalopod progeny. Some cephalopods utilise energy and nutrient reserves in somatic tissues to fuel gonad growth, and males invest less energy than females in this process. This is probably compensated for by the greater energetic costs of finding and attracting a mate. Females invest substantial energy in the accessory reproductive glands such as the nidamental gland that produces the mucilaginous coating of the egg mass. Metabolism is a heterogeneous process that includes the costs of digestion and absorption of food, maintenance, activity and tissue production. In common with feeding rate, it is determined primarily by temperature and body size. The mass exponent for metabolic rate is greater than for feeding rate, and this underlies a decline in the relative scope for growth with size. Energy loss in the excreta is mainly in the form of ammonia, and cephalopods have high absorption efficiencies and so lose comparatively small amounts of energy in the faeces. Ommastrephid and loliginid squid are less efficient converters of energy consumed to tissue production than octopuses because they utilise more energy actively swimming than the relatively inactive benthic forms. The deepwater and ammoniacal buoyant squid undoubtedly consume less energy for activity than the ommastrephids and loliginids, but the energy partitioning strategies of most cephalopod forms are not known.</t>
  </si>
  <si>
    <t>WOS:000297803900009</t>
  </si>
  <si>
    <t>Reproduction</t>
  </si>
  <si>
    <t>The reproductive systems of cephalopods are rather similar in cuttlefish, squid and octopuses. The sexes are always separate, and no hermaphroditism or sex change has been found. Maturation in the female is principally a process of egg growth by the accumulation of large amounts of lipoprotein yolk, and the enlargement of the accessory reproductive organs: the oviducal, nidamental and accessory nidamental glands. Routine assessment of the state of maturity is usually based on a descriptive scale, supported by indices of the relative development of reproductive tissues. In males, mature spermatozoa are packaged into complex spermatophores stored in the spermatophoric (Needham's) sac. Fertilisation is achieved after individual matings in which spermatophores are transferred from the male to the female using an arm which is usually specially modified for the mating process (hectocotylus). There may be competition for mates, but multiple mating is common. The potential for sperm storage by the female leads to delayed fertilisation and the production of eggs at one spawning arising from matings with several different males. Egg masses are attached to the sea bed (most octopuses, loliginid squid and cuttlefish) or released into the water column in fragile gelatinous masses (most squid families). Reproduction in most cephalopods occurs seasonally, but there is no overall consistency of the timing cues for breeding. Individual females may spawn all their eggs over a short period of time (terminal spawning), or there may be distinct bouts of spawning (batch or repeated spawning). Some species (particularly the deep-water cirrate octopods) apparently spawn continuously over a wide range of adult sizes. Estimates of individual fecundity vary widely between species, and there is a trade-off between egg size and fecundity. Compared with other marine invertebrates, the eggs of cephalopods are large, well-protected and produced in relatively low numbers, leading to low mortality and low egg numbers.</t>
  </si>
  <si>
    <t>WOS:000297803900010</t>
  </si>
  <si>
    <t>From egg to recruitment</t>
  </si>
  <si>
    <t>Study of the complete life cycle between spawning and recruitment to the adult population is hindered by difficulties of representative sampling and of species' identification at early stages. Those cephalopods with egg deposits attached to the seabed (shallow-water octopods, cuttlefish and loliginid squid), have yolky, well-protected eggs and long development times. Changing environmental conditions during development, especially temperature, directly influence developmental rate and hatching success. Cephalopods releasing eggs in the water column, either freely (families Brachioteuthidae, Enoploteuthidae) or in neutrally buoyant gelatinous masses (families Ommastrephidae, Gonatidae), produce small eggs with relatively short development times which become part of large-scale current-assisted migrations of the population. Cephalopods do not have highly differentiated larval stages. The hatchling larvae and early young are sometimes called 'paralarvae', a term which recognises the ecological differences between this stage and the adult. Many benthic and nektobenthic adult forms have planktonic paralarvae. Temperature has a considerable effect on the rate of egg development and of paralarval and juvenile growth. These stages occupy a substantial proportion of the total lifespan of any species, and the effects of temperature may be paramount in affecting the timing of hatching and recruitment to the adult population. The culture of cephalopods in captivity, based on the maintenance and rearing of wild-caught juveniles and sub-adults, has limited commercial potential because of their predatory habit and dependence on supplies of live food. Rearing of larvae hatched in captivity is possible using a combination of specially reared live food and frozen supplies. There is scope for the integration of managed culture with management of the coastal environment for mixed cultivation of cuttlefish, loliginid squid and octopuses.</t>
  </si>
  <si>
    <t>WOS:000297803900011</t>
  </si>
  <si>
    <t>Coastal and shelf species</t>
  </si>
  <si>
    <t>The inshore coastal neritic zone, with its mixed seabed substrates of rock sand and mud and highly mixed water column, is the most physically diverse and biologically productive of the marine habitats. The octopuses, cuttlefish and myopsid squid endemic here (e. g. Octopus, Sepia, Loligo) use the close availability of the seabed for attachment of their eggs. The abundance and variety of fish and invertebrate food sources available to them support regional concentrations of great cephalopod species diversity and biomass. Adaptations to life in this inshore coastal environment include the complex prey capture and prey handling mechanisms of octopuses and cuttlefish, exploitation by octopuses of opportunities for shelter by the occupation and improvement of homes or dens, and the use of highly specific colour and pattern displays for crypsis and communication. Underwater observations by divers are beginning to describe the full range and functions of cephalopod behaviour. The coastal octopuses and squid, which are typically associated with the seabed, may extend down the continental slope. Here they overlap with the distribution of octopuses such as Pareledone, Bathypolypus and Alloposus, of which some species range continuously downwards to &lt;3000 m. Squids of genera such as Illex, Todarodes, Todaropsis and Nototodarus (family Ommastrephidae) comprise major populations in the shelf-break zone. Here, the oceanographic features associated with western and eastern boundary currents and the associated mesoscale and downwelling features such as eddies and upwelling cells promote enriched food supplies. Egg masses of these species are produced in fragile gelatinous masses thought to float at depth on the horizontal boundary between water masses of different densities. Mechanisms for the maintenance of these populations geographically within the powerful current systems involve postulating long distance return migrations to breeding areas. These ommastrephid squid are present seasonally over the continental shelf in large shoals of young animals making use of the rich feeding conditions for growth and maturation.</t>
  </si>
  <si>
    <t>WOS:000297803900012</t>
  </si>
  <si>
    <t>Oceanic and deep-sea species</t>
  </si>
  <si>
    <t>The oceanic and deep-sea environment, owing to its great scale and extent, encompasses the greatest diversity at the family level and total biomass of cephalopods. Large populations of migratory ommastrephids are characteristic of the productive shelf-break oceanic boundary currents and upwelling systems. Available as major fisheries and to surface predators in the epipelagic zone (&lt;200 m depth) where they are important predators on fish, crustacea and other cephalopods, they normally range throughout the mesopelagic (&lt;1000 m), generally breeding at depth through the spawning of large gelatinous neutrally buoyant egg masses. Specialised forms of octopus (Argonauta) and cuttlefish (Spirula) are world-wide distributed in the epipelagic zone of tropical and sub-tropical waters. All the squid families are represented in the oceanic and deep-sea environment, many of them having characteristic depth-range distributions into the bathypelagic (&lt;3000 m) and abyssal (3000-6000 m) zones. The greatest abundance and diversity of pelagic forms is probably found in the depth range 500-1500 m. Many species undergo diel or seasonal vertical migrations, or may differ in depth distribution in different geographic regions. Typically, these mid-water squid have bodies that are more flaccid than coastal and epipelagic forms, resulting from retention of ammonium chloride in their tissues to achieve neutral buoyancy. They are believed to be less active animals, obtaining food by passive hunting and to be mostly planktonic and micro-nektonic predators. A great variety of luminescent organs and tissues are present based on endogenous or exogenous (symbiotic bacteria) production of light. Distinctively, the cirromorph octopuses appear on or close to the bottom, and also range in depth from the upper shelf down to bathyal depths. They have paired fins for locomotion and two rows of cirri flanking the suckers of each arm that are supposed to provide specialized feeding organs. A widely dispersed and diverse fauna of octopuses, both cirrate and incirrate forms (sub-orders Cirrina and Incirrina), live in epibenthic association with the bottom. Locomotion is characteristically by slow pulsations of the arms and web, or rhythmic 'sculling' with the paired fins. Deep-diving submersibles and ROVs are providing new insights into the behaviour and biology of these finned octopuses. Life cycle information is lacking for most deep-water species. A few estimates of growth rate and age at maturity suggest that growth is not significantly slower than in neritic species, and lifespan is not significantly longer. A greater variety of breeding mechanisms is described, including pelagic brooding of egg masses by squid (family Gonatidae) and sequential production of single eggs (families Cirroteuthidae, Opisthoteuthidae), described as continuous breeding. A reduction of muscle tissue and loss of tentacles are common in deep-water post-spawning squid, whose buoyant gelatinous bodies may rise towards the surface and become available to predators.</t>
  </si>
  <si>
    <t>WOS:000297803900013</t>
  </si>
  <si>
    <t>Population ecology</t>
  </si>
  <si>
    <t>No cohesive description of cephalopod population ecology is yet available. The most abundant data arise from commercial-scale fisheries catches, but problems of species identification, the spatial and temporal location of fished stocks, and the occurrence of large-scale migrations all limit their use. The general biological features of the short life cycle and uni-seasonal breeding result in little overlap of successive generations. Cephalopod populations are highly influenced by environmental conditions for growth and recruitment of the hatchling broods, and show wide inter-annual fluctuations. Size-frequency and age-frequency analyses of populations suggest that a sub-structure of microcohorts (intra-annual) is frequently present. Modelling of population ecology for fisheries purposes is confounded by a lack of consensus among workers as to the form of growth model to be applied, and also by a lack of data to define populations. Immigration and emigration effects lead to distinct biases in estimations of growth rates and mortality in many populations, but molecular markers, particularly microsatellites, may shortly offer new certainty to population definitions. The uncertainties surrounding the generality of life cycle and population models is a major factor in evaluating the reality of the estimates of cephalopod biomass and production.</t>
  </si>
  <si>
    <t>WOS:000297803900014</t>
  </si>
  <si>
    <t>Cephalopods as predators</t>
  </si>
  <si>
    <t>All cephalopods are carnivores, and they are all highly versatile predators. Apart from nautilus, they all take live food. The prehensile arms and tentacles of cephalopods, together with a highly evolved sensory system, allow occupation of a broad trophic niche, and migrations allow populations to exploit different production systems and prey populations. Shoaling occurs in many species, and this probably assists in the capture of prey and contributes to the impact of cephalopods on prey populations. Analysing cephalopod stomach contents is difficult because the beak bites the food into small pieces so that the hard parts of the prey, which are usually needed for identification, are often rejected, which can cause errors in estimating their diet. Despite these problems, there is a considerable amount of information on the trophic relationships of cephalopods, which has been collected using direct observations, conventional visual analysis of stomach contents, stable isotope ratios, lipid signatures and serological methods. Most cephalopods feed on small crustaceans as juveniles, and switch their diet to fish and other cephalopods as they grow larger. This is accompanied by ontogenetic changes in the allometry of the brachial crown. There is increasing evidence that myctophid fishes are an important food resource for oceanic squid. Cannibalism is probably ubiquitous in cephalopods, especially when population densities are high. Where there is predation on commercial stocks of fish and crustaceans, the effect of cephalopod feeding on recruitment may be significant. Cephalopods are trophic opportunists in marine food webs.</t>
  </si>
  <si>
    <t>WOS:000297803900015</t>
  </si>
  <si>
    <t>Cephalopods as prey</t>
  </si>
  <si>
    <t>Cephalopods have a high intrinsic value as food for higher predators. They are present in a wide range of body sizes available to match predator requirements at different stages, very little of their body mass is indigestible, many are highly muscular animals rich in proteins, they rely on escape, evasion and concealment rather than offensive methods for evasion, and thus they offer little physical risk to predators. The life-cycle characteristics of cephalopods themselves suggests that a relatively high proportion of their annual production is retained in the adult population, offering a large resource of accessible biomass to higher predators. Many large fish species consume cephalopods, but there are insufficient data to estimate their quantitative significance in the diet. The role of cephalopods in the diets of many seabirds such as albatrosses, penguins, auks, petrels and terns has been carefully quantified in many cases from the residual cephalopod beaks in gut contents. Cumulative estimates of the consumption by birds over areas of ocean have been made, but how cephalopods are obtained by some birds, i.e. whether by direct predation, scavenging on regurgitations from other predators or exploiting the natural post-spawning mortality of squid, is still a matter of debate. Most seal species take cephalopods as part of their diet, and for some, like the southern elephant seal, cephalopods are the major food. Toothed whales also take large quantities of cephalopods, and sperm whales are estimated to consume 95% of their diet as squid in the open ocean and at depths down to 1000 m. Predator consumption estimates have been used to calculate the possible biomass of cephalopods available annually, and these produce very large figures when compared, for example, with the annual global fisheries catch. A number of errors and sources of bias are inherent in these estimates.</t>
  </si>
  <si>
    <t>WOS:000297803900016</t>
  </si>
  <si>
    <t>Fishing methods and scientific sampling</t>
  </si>
  <si>
    <t>Fishing methods specific to cephalopods arise from traditional hand-fishing techniques. The targeted commercial methods exploit the behavioural characteristics of the target species and provide uniquely high-quality catches with little collateral ecological impact or by-catch of other organisms. Examples are the use of jig-fishing with lights for squid, which relies on the tendency of squid to be attracted to lighted fishing vessels, attacking the prey and the moving fishing jigs which mimic the prey. This accounts for about half of the global catch of cephalopods, and is undertaken by fleets of dedicated vessels, specially equipped to operate multiple lines of jigs using programmable automated machines. Pot-fishing for octopus and cuttlefish is a highly selective and low-impact form of fishing common throughout the world in coastal areas for artisanal and small-scale commercial use. Trawling, in various forms, is the second most important fishing method for squid, octopus and cuttlefish, but provides a mixed catch of a lower quality and value. Gill-net fishing for oceanic squid in the Pacific, now effectively ceased, used to be highly productive, but resulted in substantial mortalities of small cetaceans. Scientific sampling of cephalopods by traditional research nets is likely to be highly inefficient, as suggested by the mismatch of both size frequency and species composition of the net-caught fauna with the analysis of diet composition of squid predators. Acoustic methods of detection are of value for selected assessment purposes, and the increased use of submersibles and remotely operated vehicles is providing new biological information on deep-water species.</t>
  </si>
  <si>
    <t>WOS:000297803900017</t>
  </si>
  <si>
    <t>Fishery resources</t>
  </si>
  <si>
    <t>The potential of cephalopod fisheries to increase world food production from the sea attracted attention in the last two decades of the twentieth century, and at the same time catches increased much faster than the total catch of exploited marine species. An overview of the global fishery resources of cephalopods, based to a large extent on fishery statistics published by the FAO on capture production, shows that between 1990 and 1999 the world annual catch of cephalopods increased from 2.4 to 3.4 million tonnes, and this continued a trend that had been apparent for several decades. It probably reflected a shift in fishing effort from traditional to less traditional species (fishing down the food web), but it has also been proposed that cephalopod stocks have increased as groundfish stocks have diminished. The FAO data provide information on the global distribution of the exploited stocks, but there is a large proportion of the total cephalopod catch which remains unidentified. There are problems with the identification of cephalopods, especially in local artisanal fisheries, and there are undoubtedly undescribed species in the seas, some of which probably contribute to catches, particularly in areas of high marine biodiversity. Nevertheless, scientific knowledge of the taxonomy and distribution of the cephalopods allows some interpretation of the FAO statistics where species have not been reported. Trends in the global statistics and knowledge of the ecology of the cephalopod fauna, where exploitation is currently slight or non-existent, provide some insight into the current state of exploitation and future production potential of the cephalopods. Cuttlefish catches indicate an increasing trend, suggesting that there is still some opportunity for increased catches in the future. Most of the squid stocks currently fished appear to be fully exploited, and variations in catch rate are probably due to environmental variability. There are, however, some unexploited stocks, mostly off the continental shelves, which appear to have the potential to support new fisheries. The catch rate in the octopus stocks is relatively stable, indicating that the fished species are fully exploited. In heavily overfished cephalopod stocks, reducing fishing effort would probably have the effect of increasing the total catch.</t>
  </si>
  <si>
    <t>WOS:000297803900018</t>
  </si>
  <si>
    <t>Fisheries oceanography</t>
  </si>
  <si>
    <t>The largest cephalopod populations, including those exploited by fisheries, mostly inhabit one of the three types of large oceanic ecosystems: the high-velocity current systems mainly associated with the western boundaries of the world's oceans, the major coastal upwelling systems and the continental shelves. The large-scale squid fisheries which use lights to attract the squid can be seen in satellite images gathered by the US Defense Meteorological Satellite Programme. Large fleets of vessels can be visualised in the Kuroshio Current in the western Pacific, on the edge of the Patagonian Shelf in the Falkland (Malvinas)/Brazil Current system, on the New Zealand shelf, in the coastal upwelling system off Peru (Humboldt Current), on the China Sea shelf and in the Sunda-Arafura shelves system. In the ommastrephid fisheries, squid are often concentrated in the vicinity of meanders, eddies, core rings and jets of oceanic frontal systems. Because cephalopods are ecological opportunists, their populations are highly labile and changes in abundance are driven by large-scale oceanographic variability. Understanding short-term distributional changes linked to mesoscale processes and longer term (&lt;= 1 year) abundance changes associated with larger-scale processes holds out the possibility of predictive operational fisheries oceanography drawing on oceanographic satellite imagery from various sources.</t>
  </si>
  <si>
    <t>WOS:000297803900019</t>
  </si>
  <si>
    <t>Assessment and management</t>
  </si>
  <si>
    <t>The assessment and management of fished cephalopod populations is a relatively undeveloped field. An unresolved issue is whether cephalopods (especially squid) may be treated in the same way as fish for assessment purposes and thus become subject to the range of methods traditionally applied to finfish. As a consequence, most of the methods of assessment applicable to finfish fisheries have been tried out on cephalopods in one place or another, but no standard approach has resulted. The most obvious difficulty in treating cephalopods like most fish is their universally short lifespan and generally single year-class population, which is totally dependent on recruitment success in the fishing year. Fishing and acoustic surveys, egg and larval production estimates, and mark-recapture data have all contributed to assessment methods. Depletion of the stock during the fishing season, usually monitored from changes in the catch per unit effort (CPUE) throughout the season, has been consistently measured in a number of fished populations. These data have allowed the application of the Leslie-DeLury method to estimate the size of the stock at the beginning of each fishing season. Estimation by this method allows the introduction of management measures aimed at allowing a fixed proportion (40%), or an absolute quantity, of the stock to escape from fishing. Despite the obvious difficulties introduced by immigration to, and emigration from, the fished stock, the Leslie-DeLury method is currently the most widely used assessment approach for management. Long runs of catch information allow the development of empirical models predicting the availability in some fisheries from environmental information such as sea-surface temperature (SST), indices of coastal upwelling, and even large-scale climatic fluctuations such as the north Atlantic oscillation index (NAO) and El Nino-southern oscillation (ENSO) events. Indirect evidence of cephalopod abundance from predator diet is also being used for assessment purposes (Martialia hyadesi) and for the setting of catch limits for the species while maintaining their availability to top predators.</t>
  </si>
  <si>
    <t>WOS:000297803900020</t>
  </si>
  <si>
    <t>Cephalopods Ecology and Fisheries Conclusion</t>
  </si>
  <si>
    <t>WOS:000297803900021</t>
  </si>
  <si>
    <t>Cunningham, GB; Nevitt, GA</t>
  </si>
  <si>
    <t>Mason, RT; LeMaster, MP; MullerSchwarze, D</t>
  </si>
  <si>
    <t>The sense of smell in procellariiforms - An overview and new directions</t>
  </si>
  <si>
    <t>Chemical Signals in Vertebrates 10</t>
  </si>
  <si>
    <t>CHEMICAL SIGNALS IN VERTEBRATES</t>
  </si>
  <si>
    <t>10th International Symposium on Chemical Signals in Vertebrates</t>
  </si>
  <si>
    <t>JUL 29-AUG 01, 2003</t>
  </si>
  <si>
    <t>Oregon State Univ, Dept Biol Programs, Corvallis, OR</t>
  </si>
  <si>
    <t>Oregon State Univ, Dept Biol Programs</t>
  </si>
  <si>
    <t>DIMETHYL SULFIDE; ANTARCTIC SEABIRDS; PETRELS; NEST; CHICKS; ODOR; DISCRIMINATION; RECOGNITION; ATTRACTION; NAVIGATION</t>
  </si>
  <si>
    <t>Univ Calif Davis, Dept Neurobiol Physiol &amp; Behav, Davis, CA 95616 USA</t>
  </si>
  <si>
    <t>University of California System; University of California Davis</t>
  </si>
  <si>
    <t>Cunningham, GB (corresponding author), Univ Calif Davis, Dept Neurobiol Physiol &amp; Behav, Davis, CA 95616 USA.</t>
  </si>
  <si>
    <t>233 SPRING STREET, NEW YORK, NY 10013, UNITED STATES</t>
  </si>
  <si>
    <t>0-387-25159-6</t>
  </si>
  <si>
    <t>CHEM SIGNAL</t>
  </si>
  <si>
    <t>10.1007/0-387-25160-X_47</t>
  </si>
  <si>
    <t>BCQ35</t>
  </si>
  <si>
    <t>WOS:000230669800047</t>
  </si>
  <si>
    <t>Shen, CS; Zi, MY; Wang, JS; Liu, SL; Xu, JY</t>
  </si>
  <si>
    <t>Features of the polar ionosphere over the Zhongshan station in Antarctic</t>
  </si>
  <si>
    <t>CHINESE JOURNAL OF GEOPHYSICS-CHINESE EDITION</t>
  </si>
  <si>
    <t>ionospheric f(o) F-2 and f(o) E; soft particle in the cleft; particle ionization in the aurora; Solar EUV radiation</t>
  </si>
  <si>
    <t>E-LAYER; STORMS</t>
  </si>
  <si>
    <t>We investigate the features of the polar ionosphere over the Zhongshan station in Antarctic using the data of the ionospheric critical frequencies, f(o)F(2) and f(o)E, observed by a Digisonde Portable Sounder( DPS-4) at Zhongshan station of Antarctica in 1996, the hemispheric power index and the midnight equatorward boundary of the aurora estimated by the observation of American NOAA and DMSP satellites. The results show that under a quiet environment of the solar activity and geomagnetic variation at the winter polar night, when the station lies in the center of the polar cleft at magnetic noon, the ionization density of the ionosphere attained to a maximum of the diurnal variation. During several hours before noon and afternoon, the ionized effect of the auroral energy particles is also important. At night the electron density is very low when the station situates at the polar cap area. During the summer polar daylight, the ionized effect of the solar EUV radiation makes the ionospheric electron density much larger and the peak time of the diurnal variation of f(o)F(2) 1-2 hr earlier than that in winter. During a strong geomagnetic disturbance, the locations of both the cleft and aurora move to lower latitudes, and the ionospheric electron density over the Zhongshan station decreases significantly. For a moderate disturbed situation, things become more complex: The strength of ionization caused by soft particles in the cleft around the magnetic noon decreases somewhat, while ionization caused by higher energy particles in the aurora area increases a lot before noon and afternoon.</t>
  </si>
  <si>
    <t>Peking Univ, Sch Earth &amp; Space Sci, Beijing 100871, Peoples R China; Polar Res Ctr China, Shanghai 200129, Peoples R China; Chinese Acad Sci, Lab Space Weather, Beijing 100080, Peoples R China</t>
  </si>
  <si>
    <t>Peking University; Chinese Academy of Sciences</t>
  </si>
  <si>
    <t>Shen, CS (corresponding author), Peking Univ, Sch Earth &amp; Space Sci, Beijing 100871, Peoples R China.</t>
  </si>
  <si>
    <t>shenchsh@sohu.com</t>
  </si>
  <si>
    <t>SCIENCE CHINA PRESS</t>
  </si>
  <si>
    <t>0001-5733</t>
  </si>
  <si>
    <t>CHINESE J GEOPHYS-CH</t>
  </si>
  <si>
    <t>Chinese J. Geophys.-Chinese Ed.</t>
  </si>
  <si>
    <t>891IQ</t>
  </si>
  <si>
    <t>WOS:000226574900001</t>
  </si>
  <si>
    <t>Northcott, KA; Snape, I; Scales, PJ; Stevens, GN</t>
  </si>
  <si>
    <t>Contaminated water treatment in cold regions: an example of coagulation and dewatering modelling in Antarctica</t>
  </si>
  <si>
    <t>contaminated water treatment; coagulation and dewatering; Antarctica</t>
  </si>
  <si>
    <t>FLOCCULATED SUSPENSIONS; FILTRATION; SEPARATION; PARAMETERS; DESIGN</t>
  </si>
  <si>
    <t>Water collection and treatment is often required for effective cold regions contaminated site clean-up, where large volumes of meltwater runoff might otherwise become contaminated during remediation activities and disperse pollutants into the surrounding environment. Waste reduction is particularly important for remediation activities in remote cold regions, as the handling, transport and eventual disposal of material is very costly and logistically difficult. A mobile water treatment system has been constructed for deployment to remote cold regions contaminated sites for use during clean-up activities. This paper describes coagulation and dewatering experiments and modelling techniques that were used to optimise the water treatment process and reduce sludge volumes. Coagulation was assessed by laboratory experiments to determine the impact of a number of operating parameters. Sludge dewaterability was characterised using a recent theory of suspension consolidation. The parameters of greatest importance for water treatment were pH, flowrate and the ratio of coagulant to suspended solids. Sludge dewatering experiments and modelling found transient batch settling and freeze-thaw to be the most effective sludge reduction techniques for Antarctic applications. (C) 2004 Elsevier B.V. All rights reserved.</t>
  </si>
  <si>
    <t>Univ Melbourne, Particulate Fluids Proc ARC Special Res Ctr, Dept Chem &amp; Biomol Engn, Parkville, Vic 3010, Australia; Australian Antarctic Div, Human Impacts Res, Kingston, Tas 7050, Australia</t>
  </si>
  <si>
    <t>University of Melbourne; Australian Antarctic Division</t>
  </si>
  <si>
    <t>Northcott, KA (corresponding author), Univ Melbourne, Particulate Fluids Proc ARC Special Res Ctr, Dept Chem &amp; Biomol Engn, Parkville, Vic 3010, Australia.</t>
  </si>
  <si>
    <t>gstevens@unimelb.edu.au</t>
  </si>
  <si>
    <t>Scales, Peter j/I-8103-2013</t>
  </si>
  <si>
    <t>Scales, Peter j/0000-0002-8033-3686; Stevens, Geoffrey/0000-0002-5788-4682</t>
  </si>
  <si>
    <t>10.1016/j.coldregions.2004.10.003</t>
  </si>
  <si>
    <t>890II</t>
  </si>
  <si>
    <t>WOS:000226504500004</t>
  </si>
  <si>
    <t>Romero-Wolf, A; Ave, M; Boyle, P; Gahbauer, F; Höppner, C; Hörandel, J; Ichimura, M; Müller, D; Wakely, S</t>
  </si>
  <si>
    <t>Blumer, J; Engel, R; Haungs, A</t>
  </si>
  <si>
    <t>Antarctic balloon flight and data analysis of TRACER</t>
  </si>
  <si>
    <t>Contributions to the 29th International Cosmic Ray Conference</t>
  </si>
  <si>
    <t>FORSCHUNGSZENTRUM KARLSRUHE - TECHNIK UND UMWELT, WISSENSCHAFTLICHE BERICHTE (FZKA)</t>
  </si>
  <si>
    <t>29th International Cosmic Ray Conference</t>
  </si>
  <si>
    <t>AUG 03-10, 2005</t>
  </si>
  <si>
    <t>Pune, INDIA</t>
  </si>
  <si>
    <t>The TRACER cosmic-ray detector was successfully flown from McMurdo, Antarctica in December 2003. The instrument has a geometric factor of 5 m(2) ster and provided measurements of cosmic ray nuclei from oxygen to iron (Z=8 to Z=26). The analysis of the data begins with the reconstruction of the trajectory of each nucleus through the instrument. Subsequently, the elemental charge Z and the particle energy are measured from 0.5 to 10,000 GeV/amu. This process uses known response functions and fluctuations in response of the individual detector elements, and the procedures are verified with extensive computer simulations. The analysis is able to cleanly select the very rare events at the highest energies without contamination due to low energy background which is more abundant by about a factor of similar to 10(4).</t>
  </si>
  <si>
    <t>Univ Chicago, Enrico Fermi Inst, Chicago, IL 60637 USA</t>
  </si>
  <si>
    <t>Romero-Wolf, A (corresponding author), Univ Chicago, Enrico Fermi Inst, 5640 S Ellis Ave, Chicago, IL 60637 USA.</t>
  </si>
  <si>
    <t>Pernas, Maximo Ave/L-3780-2017; Gahbauer, Florian H/J-9542-2014; Gahbauer, Florian/M-8734-2019</t>
  </si>
  <si>
    <t>Gahbauer, Florian H/0000-0002-7126-2513; Gahbauer, Florian/0000-0002-7126-2513</t>
  </si>
  <si>
    <t>FORSCHUNGSZENTRUM KARLSRUHE TECHNIK &amp; UMWELT</t>
  </si>
  <si>
    <t>KARLSRUHE</t>
  </si>
  <si>
    <t>POSTFACH 3640, D-76021 KARLSRUHE, GERMANY</t>
  </si>
  <si>
    <t>0947-8620</t>
  </si>
  <si>
    <t>FZKA TECH UMW WIS B</t>
  </si>
  <si>
    <t>BEE29</t>
  </si>
  <si>
    <t>WOS:000236912600049</t>
  </si>
  <si>
    <t>Xue, LG; Zhang, Y; Zhang, TG; An, LZ; Wang, XL</t>
  </si>
  <si>
    <t>Effects of enhanced ultraviolet-B radiation on algae and cyanobacteria</t>
  </si>
  <si>
    <t>CRITICAL REVIEWS IN MICROBIOLOGY</t>
  </si>
  <si>
    <t>advance; ultraviolet-B; radiation; algae; cyanobacteria</t>
  </si>
  <si>
    <t>INDUCED DNA-DAMAGE; UV-ABSORBING COMPOUNDS; HELGOLAND NORTH-SEA; AMINO-ACIDS MAAS; NITRIC-OXIDE; SOLAR-RADIATION; CHLOROPHYLL FLUORESCENCE; OZONE DEPLETION; PHOTOSYNTHETIC RESPONSE; ANTARCTIC CYANOBACTERIA</t>
  </si>
  <si>
    <t>This article provides an overview of existing literature on the ultraviolet-B (UV-B) radiation effects on algae and cyanobacteria. We report on the effects of UV-B radiation to the growth and development, biomass, sensitivity, photosynthetic pigments, UV-B absorbing compounds, photosynthesis, protein and DNA damage, enzyme activity, nitrogen fixation and assimilation of nitrogen, protective mechanisms of algae and cyanobacteria, the accommodation of algae and cyanobacteria to environmental stress, and the effects to ecology system. Many of the studies show the dramatic effects of UV-B radiation; but typically these studies were conducted under conditions with supplemental UV-B irradiance that was higher than would ever occur outside experimental conditions or natural condition. A few of the studies reviewed used experimental conditions and supplemental UV-B irradiance that approached realism. Enhanced UV-B generally decreased chlorophyll content, whereas it increased UV-B absorbing compounds in many algae. Decrease in photosynthesis, particularly at higher UV-B doses, was due to both direct (effect on photosystem) and indirect (decrease in pigments) effects. The decreases in chlorophyll pigments and photosynthesis resulted in lower biomass. However, algae and cyanobacteria have evolved various avoidance and repair mechanisms to protect themselves against the damaging effects of UV radiation to acclimate to enhanced UV-B radiation. The review points to areas where further studies on the relationships among nitrogenase, Rubisco, antioxidase activity, signal, antioxidants, and free radicals under enhanced UV-B are needed to quantify the effects of UV-B radiation on algae and cyanobacteria. These studies are needed in order to develop dose response functions that can facilitate development of dynamic simulation models for use in UV-B and other environmental impact assessments.</t>
  </si>
  <si>
    <t>Lanzhou Univ, Sch Life Sci, State Key Lab Arid Agroecol, Lanzhou 730000, Peoples R China; Lanzhou Jiaotong Univ, Sch Chem &amp; Bioengn, Lanzhou 730030, Peoples R China; Hexi Univ, Dept Biol, Zhangye 734000, Peoples R China</t>
  </si>
  <si>
    <t>Lanzhou University; Lanzhou Jiaotong University; Hexi University</t>
  </si>
  <si>
    <t>Lanzhou Univ, Sch Life Sci, State Key Lab Arid Agroecol, Lanzhou 730000, Peoples R China.</t>
  </si>
  <si>
    <t>anlizhe@yahoo.com</t>
  </si>
  <si>
    <t>1040-841X</t>
  </si>
  <si>
    <t>1549-7828</t>
  </si>
  <si>
    <t>CRIT REV MICROBIOL</t>
  </si>
  <si>
    <t>Crit. Rev. Microbiol.</t>
  </si>
  <si>
    <t>10.1080/10408410590921727</t>
  </si>
  <si>
    <t>933EY</t>
  </si>
  <si>
    <t>WOS:000229612900003</t>
  </si>
  <si>
    <t>Sherlock, G; Block, W; Benson, EE</t>
  </si>
  <si>
    <t>Thermal analysis of the plant encapsulation-dehydration cryopreservation protocol using silica gel as the desiccant</t>
  </si>
  <si>
    <t>CRYOLETTERS</t>
  </si>
  <si>
    <t>thermal analysis; cryopreservation; encapsulation-dehydration; desiccation; Ribes; glass transitions; vitrification</t>
  </si>
  <si>
    <t>GROWN SHOOT-TIPS; GERMPLASM; WATER</t>
  </si>
  <si>
    <t>The encapsulation-dehydration cryopreservation protocol is critically dependent upon the evaporative desiccation step, which must optimise survival with the retention of glass stability on sample cooling and rewarming. Desiccation is usually achieved evaporatively by drying in a sterile airflow. However, chemical desiccation using silica gel has advantages for laboratories that do not have environmental control and/or which are exposed to high relative humidities and risks of microbial contamination. This study characterised thermal profiles of silica gel-desiccated encapsulated shoot-tips of two Ribes species using Differential Scanning Calorimetry. For both species silica gel-desiccation at 16 degrees C for 5 h decreased bead water content from ca. 75 to 28% fresh weight (3.8 to 0.4 g.g(-1) dry weight); further desiccation (for 6 and 7 h) reduced the bead water content to 21% (0.3 g.g(-1) dry weight). These changes in water status altered the thermal properties of beads for both species. After 7 h desiccation over silica gel stable glass transitions were observed on both cooling and rewarming of beads containing meristems. T-g mid-point temperatures ranged from -78 to -51 degrees C (cooling) and from -88 to -54 degrees C (warming) [at cooling and warming rates of 10 and 5 degrees C min(-1), respectively] after 5 to 7 h silica gel-desiccation. Post-cryopreservation viability of both species was ca. 63%. Thermal analysis studies revealed that an encapsulation/dehydration protocol using silica gel as a desiccant should comprise a minimum 5 h drying (at 16 degrees C). This reduces bead moisture content to a critical point (ca. 0.4 g.g(-1) dry weight) at which stable glasses are formed on cooling and rewarming. It is concluded that silica gel has advantages for use as a desiccant for alginate-encapsulated plant meristems by promoting stable vitrification and is useful in laboratories and/or geographical locations where environmental conditions are not under stringent control.</t>
  </si>
  <si>
    <t>British Antarctic Survey, NERC, Cambridge CB3 0ET, England; Univ Abertay Dundee, Sch Contemporary Sci, Conservat &amp; Environm Chem Ctr, Plant Conservat Grp, Dundee DD1 1HG, Scotland</t>
  </si>
  <si>
    <t>UK Research &amp; Innovation (UKRI); Natural Environment Research Council (NERC); NERC British Antarctic Survey; University of Abertay Dundee</t>
  </si>
  <si>
    <t>Block, W (corresponding author), British Antarctic Survey, NERC, High Cross Madingley Rd, Cambridge CB3 0ET, England.</t>
  </si>
  <si>
    <t>CRYO LETTERS</t>
  </si>
  <si>
    <t>C/O ROYAL VETERINARY COLLEGE, ROYAL COLLEGE ST, LONDON NW1 0TU, ENGLAND</t>
  </si>
  <si>
    <t>0143-2044</t>
  </si>
  <si>
    <t>CryoLetters</t>
  </si>
  <si>
    <t>JAN-FEB</t>
  </si>
  <si>
    <t>912CF</t>
  </si>
  <si>
    <t>WOS:000228054000006</t>
  </si>
  <si>
    <t>Pulsifer, PL; Parush, A; Lindgaard, G; Taylor, DRF</t>
  </si>
  <si>
    <t>Taylor, DRF</t>
  </si>
  <si>
    <t>Pulsifer, Peter L.; Parush, Avi; Lindgaard, Gitte; Taylor, D. R. Fraser</t>
  </si>
  <si>
    <t>The Development of the Cybercartographic Atlas of Antarctica</t>
  </si>
  <si>
    <t>CYBERCARTOGRAPHY: THEORY AND PRACTICE</t>
  </si>
  <si>
    <t>Modern Cartography</t>
  </si>
  <si>
    <t>This chapter discusses the ongoing development of a Web-based Atlas of the Antarctic region entitled the Cybercartographic Atlas of Antarctica (The Atlas). An overview of the design, development, and ongoing implementation of The Atlas is presented. Central to The Atlas development approach is the extensive analysis of the needs of a general public target user group. Through user needs analysis (UNA), specifications are established and prototypes used to test concepts before expensive development tasks are carried out. Constant feedback between process stages is built into this iterative User-Centred Design (UCD) approach. The UCD results provide specifications for many aspects of cartographic design, including interface elements, usage context, and information architecture. The chapter presents preliminary interface designs built on content supported by a prototype mediator-based system architecture. The concluding sections discuss emerging research challenges and directions in terms of cartographic representation, atlas design, and systems development.</t>
  </si>
  <si>
    <t>[Pulsifer, Peter L.; Taylor, D. R. Fraser] Carleton Univ, Geomat &amp; Cartog Res Ctr, Dept Geog &amp; Environm Studies, Ottawa, ON K1S 5B6, Canada; [Parush, Avi; Lindgaard, Gitte] Carleton Univ, Dept Psychol, Human Oriented Technol Lab HOTLab, Ottawa, ON K1S 5B6, Canada; [Lindgaard, Gitte] Carleton Univ, NSERC Ind Chair User Centred Design, Ottawa, ON K1S 5B6, Canada</t>
  </si>
  <si>
    <t>Carleton University; Carleton University; Carleton University</t>
  </si>
  <si>
    <t>Pulsifer, PL (corresponding author), Carleton Univ, Geomat &amp; Cartog Res Ctr, Dept Geog &amp; Environm Studies, 1125 Colonel Dr, Ottawa, ON K1S 5B6, Canada.</t>
  </si>
  <si>
    <t>Parush, Avi/AFQ-3490-2022</t>
  </si>
  <si>
    <t>Lindgaard, Gitte/0000-0001-5890-2419; PULSIFER, PETER/0000-0001-9561-3640</t>
  </si>
  <si>
    <t>SARA BURGERHARTSTRAAT 25, PO BOX 211, 1000 AE AMSTERDAM, NETHERLANDS</t>
  </si>
  <si>
    <t>1363-0814</t>
  </si>
  <si>
    <t>978-0-08-047230-0</t>
  </si>
  <si>
    <t>MOD CARTOGR</t>
  </si>
  <si>
    <t>Computer Science, Software Engineering; Geography</t>
  </si>
  <si>
    <t>Book Citation Index – Social Sciences &amp; Humanities (BKCI-SSH); Book Citation Index – Science (BKCI-S)</t>
  </si>
  <si>
    <t>Computer Science; Geography</t>
  </si>
  <si>
    <t>BCR45</t>
  </si>
  <si>
    <t>WOS:000311097500021</t>
  </si>
  <si>
    <t>Baulch, S; Macdonald, R; Pulsifer, PL; Taylor, DRF</t>
  </si>
  <si>
    <t>Baulch, Samantha; Macdonald, Ronald; Pulsifer, Peter L.; Taylor, D. R. Fraser</t>
  </si>
  <si>
    <t>Cybercartography for Education: The Case of the Cybercartographic Atlas of Antarctica</t>
  </si>
  <si>
    <t>This chapter examines the educational design of the Cybercartographic Atlas of Antarctica for high school students. It examines different learning methods and establishes a need to create a learning environment that appeals to Howard Gardner's Multiple Intelligences Theory, while incorporating elements of edutainment to capture the attention of teenagers. Working in collaboration with Students on Ice, an organization that leads learning expeditions to the Antarctic and the Arctic, this chapter describes a prototype learning module, based on climate change, and a prototype gaming component for the Atlas.</t>
  </si>
  <si>
    <t>[Baulch, Samantha] Delphi Grp, Ottawa, ON K2P 0R8, Canada; [Macdonald, Ronald] Lakefield Dist Intermediate Secondary Sch, Kawartha Pine Ridge Dist Sch Board, Lakefield, ON K0L 2H0, Canada; [Pulsifer, Peter L.; Taylor, D. R. Fraser] Carleton Univ, Geomat &amp; Cartog Res Ctr, Dept Geog &amp; Environm Studies, Ottawa, ON K1S 5B6, Canada</t>
  </si>
  <si>
    <t>Delphi; Carleton University</t>
  </si>
  <si>
    <t>Baulch, S (corresponding author), Delphi Grp, 428 Gilmour St, Ottawa, ON K2P 0R8, Canada.</t>
  </si>
  <si>
    <t>PULSIFER, PETER/0000-0001-9561-3640</t>
  </si>
  <si>
    <t>WOS:000311097500022</t>
  </si>
  <si>
    <t>Coppola, L; Roy-Barman, M; Mulsow, S; Povinec, P; Jeandel, C</t>
  </si>
  <si>
    <t>Low particulate organic carbon export in the frontal zone of the Southern Ocean (Indian sector) revealed by 234Th</t>
  </si>
  <si>
    <t>thorium-234; POC export; Southern Ocean</t>
  </si>
  <si>
    <t>ANTARCTIC POLAR FRONT; BIOGENIC SILICA; EQUATORIAL PACIFIC; WATER-COLUMN; SPRING BLOOM; TIME-SERIES; IRON; FLUX; PHYTOPLANKTON; VARIABILITY</t>
  </si>
  <si>
    <t>The water column deficiencies of Th-234 were used to estimate the Particulate Organic Carbon (POC) fluxes in the Indian Sector of the Southern Ocean. Samples were collected in January February 1999 in a frontal zone from 42degreesS to 47degreesS and from 60degreesE to 66degreesE during the ANTARES 4 cruise. Beta counting was used to measure the Th-234 activities onboard. The Th-234 export fluxes were estimated from the Th-234/U-218 disequilibria using a steady state Th-234 model. A non-steady state model gave results close to the steady-state model in the Subtropical Zone and could not be used in the Subantarctic Zone due to a strong vertical mixing event. Small and large particles analysis indicated that the POC/Th-234 ratios decreased when the particle size increased. From the POC/Th-234 ratios on the large filtered particles, it appears that the POC export fluxes exported below 100 m were very low (from 0.10 to 2.53 mmolC m(-2) d(-1)) compared to those observed in the Southern Ocean and (Deep Sea Res. 1148 (2001) 4275; Deep Sea Res. 1147 (15-16) (2000) 3451; Deep Sea Res. 1144 (1997) 457) and with a strong zonal variation. It is hypothesized that the low POC export fluxes were related to the low predominance of diatoms, characteristic at the end of a bloom period. In this way, the very low POC export observed in the Subtropical Zone suggests an efficient remineralization process and/or a high bacterial activity. Otherwise, a decoupling between the primary production and the POC export derived from Th-234 could also explain the low POC export. (C) 2004 Elsevier Ltd. All rights reserved.</t>
  </si>
  <si>
    <t>LEGOS, F-31400 Toulouse, France; Swedish Museum Nat Hist, LIG, S-10405 Stockholm, Sweden; LSCE, F-91198 Gif Sur Yvette, France; IAEA, Marine Environm Lab, MC-98000 Monaco, Monaco</t>
  </si>
  <si>
    <t>Universite de Toulouse; Universite Toulouse III - Paul Sabatier; Centre National de la Recherche Scientifique (CNRS); Institut de Recherche pour le Developpement (IRD); Laboratoire d'Etudes en Geophysique et oceanographie spatiales; Swedish Museum of Natural History; CEA; Centre National de la Recherche Scientifique (CNRS); Universite Paris Saclay</t>
  </si>
  <si>
    <t>LEGOS, 14 Ave,Edouard Belin, F-31400 Toulouse, France.</t>
  </si>
  <si>
    <t>laurent.coppola@nrm.se</t>
  </si>
  <si>
    <t>Povinec, Pavel P/R-4682-2018; Coppola, Laurent/F-7880-2017; , Sandor/AAW-3450-2020; Jeandel, Catherine/P-3789-2014</t>
  </si>
  <si>
    <t>Coppola, Laurent/0000-0003-0473-1129; , Sandor/0000-0002-2466-8107; Jeandel, Catherine/0000-0002-4915-4719; Povinec, Pavel/0000-0003-0275-794X</t>
  </si>
  <si>
    <t>10.1016/j.dsr.2004.07.020</t>
  </si>
  <si>
    <t>888JJ</t>
  </si>
  <si>
    <t>WOS:000226369900004</t>
  </si>
  <si>
    <t>Ainley, DG; Spear, LB; Tynan, CT; Barth, JA; Pierce, SD; Ford, RG; Cowles, TJ</t>
  </si>
  <si>
    <t>Physical and biological variables affecting seabird distributions during the upwelling season of the northern California Current</t>
  </si>
  <si>
    <t>DEEP-SEA RESEARCH PART II-TOPICAL STUDIES IN OCEANOGRAPHY</t>
  </si>
  <si>
    <t>ANTARCTIC PROCELLARIIFORM SEABIRDS; CURRENT SYSTEM; DIMETHYLSULFIDE; PACIFIC; PREY; ZOOPLANKTON; COMMUNITIES; CLIMATE; OREGON; ALASKA</t>
  </si>
  <si>
    <t>As a part of the GLOBEC-Northeast Pacific project, we investigated variation in the abundance of marine birds in the context of biological and physical habitat conditions in the northern portion of the California Current System (CCS) during cruises during the upwelling season 2000. Continuous surveys of seabirds were conducted simultaneously in June (onset of upwelling) and August (mature phase of upwelling) with ocean properties quantified using a towed, undulating vehicle and a multi-frequency bioacoustic instrument (38-420 kHz). Twelve species of seabirds contributed 99% of the total community density and biomass. Species composition and densities were similar to those recorded elsewhere in the CCS during earlier studies of the upwelling season. At a scale of 2-4 km, physical and biological oceanographic variables explained an average of 25% of the variation in the distributions and abundance of the 12 species. The most important explanatory variables (among 14 initially included in each multiple regression model) were distance to upwelling-derived frontal features (center and edge of coastal jet, and an abrupt, inshore temperature gradient), sea-surface salinity, acoustic backscatter representing various sizes of prey (smaller seabird species were associated with smaller prey and the reverse for larger seabird species), and chlorophyll concentration. We discuss the importance of these variables in the context of what factors seabirds may use to find food. The high seabird density in the Heceta Bank and Cape Blanco areas indicates them to be refuges contrasting the low seabird densities currently found in most other parts of the CCS, following decline during the recent warm regime of the Pacific Decadal Oscillation. (c) 2004 Elsevier Ltd. All rights reserved.</t>
  </si>
  <si>
    <t>HT Harvey &amp; Associates, San Jose, CA 95118 USA; Woods Hole Oceanog Inst, Dept Phys Oceanog, Woods Hole, MA 02543 USA; Oregon State Univ, Coll Ocean &amp; Atmospher Sci, Corvallis, OR 97331 USA; RG Ford Consulting, Portland, OR 97232 USA</t>
  </si>
  <si>
    <t>Woods Hole Oceanographic Institution; Oregon State University</t>
  </si>
  <si>
    <t>HT Harvey &amp; Associates, 3150 Almaden Expressway,Suite 145, San Jose, CA 95118 USA.</t>
  </si>
  <si>
    <t>0967-0645</t>
  </si>
  <si>
    <t>1879-0100</t>
  </si>
  <si>
    <t>DEEP-SEA RES PT II</t>
  </si>
  <si>
    <t>Deep-Sea Res. Part II-Top. Stud. Oceanogr.</t>
  </si>
  <si>
    <t>10.1016/j.dsr2.2004.08.016</t>
  </si>
  <si>
    <t>912QU</t>
  </si>
  <si>
    <t>WOS:000228095200008</t>
  </si>
  <si>
    <t>Schmid, C; Bourlés, B; Gouriou, Y</t>
  </si>
  <si>
    <t>Impact of the equatorial deep jets on estimates of zonal transports in the Atlantic</t>
  </si>
  <si>
    <t>ANTARCTIC INTERMEDIATE WATER; WESTERN BOUNDARY CURRENT; SOUTH-ATLANTIC; TROPICAL ATLANTIC; PACIFIC-OCEAN; CIRCULATION; CURRENTS; MODEL; WAVES; FLOW</t>
  </si>
  <si>
    <t>The structure and variability of the zonal equatorial flow in the Atlantic is studied on the basis of velocity profiles obtained with lowered Acoustic Doppler Current Profilers during multiple surveys. The vertical extent of the zonal currents is found to vary considerably. It can be as small as 100 m or as large as 1000 m. In the Atlantic, vertical scales of 400-600 m have been associated with the equatorial deep jets (they are also frequently called deep jets or stacked jets). Typical amplitudes of the zonal velocity are about 20 cm s(-1). An analysis of quasi-synoptic surveys indicates that the zonal extent of most jets is likely to be at least 27 degrees. They can rise or deepen from west to east, although the deepening was observed more often and is often more pronounced. The west to east deepening can be as large as 320 m/10 degrees. Basin-wide mean depth changes of the jets are mostly on the order of 50 m/10 degrees, and the largest depth changes are typically observed between 35 degrees and 23 degrees W. The existence of these changes indicates that vertically propagating, equatorially trapped, waves might be one cause for the jet structure. However, the dependence of the slope on the longitude indicates that other processes must be involved as well. The typical vertical extent of the jets is small enough to result in several direction changes of the zonal flow in the Antarctic Intermediate Water (AAIW) and the North Atlantic Deep Water (NADW) layer. From transport estimates for 14 meridional sections it is found that the transport for the westward component of the flow within the AAIW layer (500-1000 m) can be as large as -24 Sv (1 Sv = 10(6) M, s(-1)) within 1 degrees of the equator. For the eastward component of the flow in the AAIW layer the transport can be as large as 8 Sv. Adding the transport components for each section results in a range of total AAIW transports from -24 to 7 Sv. This suggest that the annual mean transport of AAIW is westward. The only months with eastward total transports are June and July. This is consistent with earlier Lagrangian and some other observations that indicated that the AAIW flow along the equator is governed by an annual cycle. In the NADW layer (1200-3900 m) the transport for the westward (eastward) flow can be as large as -25 Sv (23 Sv) within 1 degrees of the equator. This results in a range of total NADW transports from -10 to 18 Sv. The variations of the total transports of AAIW and NADW are anti-correlated, with a correlation coefficient of -0.86. Since only eight sections reached deep enough to allow transport estimates in the NADW layer it is more difficult to come to a conclusion about the mean transport in this layer than for the transport in the AAIW layer (for the latter layer 14 sections were available). Nevertheless, the obtained estimates suggest that the total NADW transport may be eastward. Published by Elsevier Ltd.</t>
  </si>
  <si>
    <t>NOAA, Atlantic Oceanog &amp; Meteorol Lab, Miami, FL 33149 USA; Ctr IRD Bretagne, F-29280 Plouzane, France</t>
  </si>
  <si>
    <t>National Oceanic Atmospheric Admin (NOAA) - USA; Atlantic Oceanographic &amp; Meteorological Laboratory (AOML); Institut de Recherche pour le Developpement (IRD)</t>
  </si>
  <si>
    <t>Schmid, C (corresponding author), NOAA, Atlantic Oceanog &amp; Meteorol Lab, 4301 Rickenbacker Causeway, Miami, FL 33149 USA.</t>
  </si>
  <si>
    <t>claudia.schmid@noaa.gov</t>
  </si>
  <si>
    <t>Schmid, Claudia/D-5875-2013; Bernard, BOURLES/I-4673-2015</t>
  </si>
  <si>
    <t>Bernard, BOURLES/0000-0001-6515-4519</t>
  </si>
  <si>
    <t>10.1016/j.dsr2.2004.12.008</t>
  </si>
  <si>
    <t>924XJ</t>
  </si>
  <si>
    <t>WOS:000229014000003</t>
  </si>
  <si>
    <t>Limeburner, R; Whitehead, JA; Cenedese, C</t>
  </si>
  <si>
    <t>Variability of Antarctic bottom water flow into the North Atlantic</t>
  </si>
  <si>
    <t>FAROE BANK CHANNEL; BRAZIL BASIN; WESTERN ATLANTIC; DEEP-WATER; OCEAN; BOUNDARY; EQUATOR; RATES; FLUX</t>
  </si>
  <si>
    <t>The flow of Antarctic bottom water from the Brazil Basin in the South Atlantic into the Guiana Basin in the western North Atlantic has been measured by current meters for 44 months. Flow is confined by a relatively flat 4500-m-deep passage between 1° S and 4° N with complex sidewall shape. At the southern end is a 300-km-wide zonal channel straddling the equator between 32° W and 38° W with approximately a 500-m-deep layer of bottom water. The deep Antarctic bottom water current into the North Atlantic is confined to a region south of the equator and the direction is westward. Previous measurements of this deep current over 600 days in duration (J. Phys. Oceanogr. 27 (1997) 1903) indicated both a small warming trend and a decreasing volume flux. New data presented in this paper of 1388 days duration show no evidence for continuation of such trends. The average temperature and yearly averaged velocities are about the same as earlier at revisited locations. The long-term drift of the deep Antarctic bottom water temperature is about -0.002 ° C/year and drift of the westward velocity is about 0.0015 m/s/year. The greatest variability is found near the top of the deep Antarctic bottom water at the northern edge of the current. The spectrum of the new 44-month data reveals a distinct yearly peak. We conclude that there has been no change in Antarctic bottom water flux into the North Atlantic during the past decade. © 2005 Elsevier Ltd. All rights reserved.</t>
  </si>
  <si>
    <t>Woods Hole Oceanog Inst, Dept Phys Oceanog, Woods Hole, MA 02543 USA</t>
  </si>
  <si>
    <t>Limeburner, R (corresponding author), Woods Hole Oceanog Inst, Dept Phys Oceanog, Woods Hole, MA 02543 USA.</t>
  </si>
  <si>
    <t>rlimeburner@whoi.edu</t>
  </si>
  <si>
    <t>10.1016/j.dsr2.2004.12.012</t>
  </si>
  <si>
    <t>WOS:000229014000007</t>
  </si>
  <si>
    <t>Klatt, O; Fahrbach, E; Hoppema, M; Rohardt, G</t>
  </si>
  <si>
    <t>The transport of the Weddell Gyre across the Prime Meridian</t>
  </si>
  <si>
    <t>LARGE-SCALE CIRCULATION; BOTTOM WATER; SOUTHERN-OCEAN; BRANSFIELD STRAIT; INDIAN-OCEAN; DEEP WATERS; MAUD-RISE; SEA; FLOW; STRATIFICATION</t>
  </si>
  <si>
    <t>Current-meter observations from instruments moored from 1996 to 2001 are used to determine the structure and the volume transport of the Weddell Gyre on the Greenwich Meridian. The record length mean volume transport is 45 Sv to the east within the northern and 56 Sv to the west within the southern limb of the Weddell Gyre. Thus I I Sv must leave the gyre circulation west of the Greenwich Meridian and enter it east of it. The deficit occurs with 8 Sv mainly in the Circumpolar Deep Water (CDW)/Warm Deep Water (WDW) layer. Surface waters and Weddell Sea Deep Water (WSDW) contribute 2 and 3 Sv, respectively. In contrast to this, 3 Sv more of Weddell Sea Bottom Water (WSBW) flow in the northern limb to the east, than in the southern limb to the west, which suggests a WSBW formation rate of about 3 Sv in the western Weddell Sea. In the Southern Boundary of the Antarctic Circumpolar Current (ACC) a volume transport of 35 +/- 16 Sv was found using geostrophic calculations adjusted with two measurements of the absolute velocity. The large heat content of the northern limb points to an extensive heat exchange between the Weddell Sea and the world ocean west of the Prime Meridian. Hence, the heat transport as well as the volume transport suggest that the water masses of the Weddell Gyre are not exclusively replaced in its eastern part, but that there is a significant exchange of water masses to the west of the Prime Meridian. (c) 2005 Elsevier Ltd. All rights reserved.</t>
  </si>
  <si>
    <t>Alfred Wegener Inst Polar &amp; Marine Res, POB 120161, D-27515 Bremerhaven, Germany.</t>
  </si>
  <si>
    <t>oklatt@awi-bremerhaven.de</t>
  </si>
  <si>
    <t>Hoppema, Mario/I-6286-2013</t>
  </si>
  <si>
    <t>Hoppema, Mario/0000-0002-2326-619X</t>
  </si>
  <si>
    <t>10.1016/j.dsr2.2004.12.015</t>
  </si>
  <si>
    <t>WOS:000229014000008</t>
  </si>
  <si>
    <t>Nuñez-Riboni, I; Boebel, O; Ollitrault, M; You, YZ; Richardson, PL; Davis, R</t>
  </si>
  <si>
    <t>Lagrangian circulation of Antarctic Intermediate Water in the subtropical South Atlantic</t>
  </si>
  <si>
    <t>TOTAL GEOSTROPHIC CIRCULATION; INTER-OCEAN EXCHANGE; TROPICAL ATLANTIC; DEPTH CIRCULATION; FLOW PATTERNS; SOFAR FLOATS; TRANSPORTS; HEAT; MODEL; EXPLORER</t>
  </si>
  <si>
    <t>This study combines float data from different projects collected between 1991 and 2003 in the South Atlantic to describe the flow of Antarctic Intermediate Water (AAIW). Velocity space-time averages are calculated for various grid resolutions and with cells deformed to match the bathymetry, f/H or f/h (with H being the water depth and It being the thickness of the AAIW layer). When judged by the degree of alignment between respective isolines and the resulting average velocity fields, the best grid is based on a nominal cell size of 3 degrees (latitude) by 4 degrees (longitude) with cell shapes deformed according to f/h. Using this grid, objectively estimated mean currents (and their associated errors), as well as meridional and zonal volume transports are estimated. Results show an anticyclonic Subtropical Gyre centred near 36 degrees S and spanning from 23 +/- 1 degrees S to 46 + 1 degrees S. The South Atlantic Current meanders from 33 degrees S to 46 degrees S and shows a mean speed of 9.6 +/- 7.8 cm s(-1) (8.5 +/- 3.5 Sv; 1 Sv = 1 x 10(6) m(3) s(-1)). The northern branch of the Subtropical Gyre is located between 22 degrees s and 32 degrees S and flows westward with a mean speed of 4.7 +/- 3.3 cm s(-1) (9.3 +/- 3.4 Sv). Evidence of a cyclonic Tropical Gyre divided in two sub-cells is visible on the stream function. (c) 2005 Elsevier Ltd. All rights reserved.</t>
  </si>
  <si>
    <t>Alfred Wegener Inst Polar &amp; Marine Res, D-27570 Bremerhaven, Germany; IFREMER, Ctr Brest, F-29280 Plouzane, France; Univ Sydney, Inst Marine Sci, Sydney, NSW 2006, Australia; Woods Hole Oceanog Inst, Woods Hole, MA 02543 USA; Univ Calif San Diego, Scripps Inst Oceanog, La Jolla, CA 92093 USA</t>
  </si>
  <si>
    <t>Helmholtz Association; Alfred Wegener Institute, Helmholtz Centre for Polar &amp; Marine Research; Ifremer; University of Sydney; Woods Hole Oceanographic Institution; University of California System; University of California San Diego; Scripps Institution of Oceanography</t>
  </si>
  <si>
    <t>Alfred Wegener Inst Polar &amp; Marine Res, Bussestr 24, D-27570 Bremerhaven, Germany.</t>
  </si>
  <si>
    <t>inunez@awi-bremerhaven.de</t>
  </si>
  <si>
    <t>Richardson, Philip L./AAV-5976-2021</t>
  </si>
  <si>
    <t>10.1016/j.dsr2.2004.12.006</t>
  </si>
  <si>
    <t>Green Published, Green Submitted</t>
  </si>
  <si>
    <t>WOS:000229014000010</t>
  </si>
  <si>
    <t>Cisewski, B; Strass, VH; Prandke, H</t>
  </si>
  <si>
    <t>Upper-ocean vertical mixing in the Antarctic Polar Front Zone</t>
  </si>
  <si>
    <t>1st Warnemunde Turbulence Days Conference</t>
  </si>
  <si>
    <t>SEP 17-19, 2003</t>
  </si>
  <si>
    <t>Warnemunde, GERMANY</t>
  </si>
  <si>
    <t>OVERTURNS; ENERGY; DISSIPATION; DIFFUSION; FLUXES; SCALES</t>
  </si>
  <si>
    <t>The nnxing regime of the upper 180 m of a mesoscale eddy in (he vicinity of the Antarctic Polar Front at 47 degrees S and 21 degrees E was investigated during the RN. Polarstern cruise ANT XVIII/2 within the scope of the iron fertilization experiment EisenEx. On the basis of hydrographic CTD and ADCP profiles we deduced the vertical diffLISivity K-z from two different parameterizations. Since these parameterizations bear the character of empirical functions, based oil theoretical and idealized assumptions, they were inter alia compared With COX-number and Thorpe-scale related diffusivities deduced from microstructure measurements, which Supplied the first direct insights into turbulence of this ocean region. Values of K-z in the range of 10(-4)-10(-3) m(2) s(-1) appear as a rather robust estimate of vertical diffusivity within the seasonal pycnocline. Values in the mixed layer above are more variable in time and reach 10(-1) m(2) s(-1) during periods of strong winds. The results confirm a close agreement between the microstructure-based eddy diffusivities and eddy diffusivities calculated after the parameterization of Pacanowski and Philander [1981. Journal of Physical Oceanography 11, 1443-1451]. (c) 2005 Elsevier Ltd. All rights reserved.</t>
  </si>
  <si>
    <t>Alfred Wegener Inst Polar &amp; Marine Res, Bremerhaven, Germany; ISW Wassermesstech, Petersdorf, Germany</t>
  </si>
  <si>
    <t>Cisewski, Boris/GWV-4320-2022</t>
  </si>
  <si>
    <t>Cisewski, Boris/0000-0002-1130-6107; Strass, Volker/0000-0002-7539-1400</t>
  </si>
  <si>
    <t>9-10</t>
  </si>
  <si>
    <t>10.1016/j.dsr2.2005.01.010</t>
  </si>
  <si>
    <t>944HK</t>
  </si>
  <si>
    <t>WOS:000230417700003</t>
  </si>
  <si>
    <t>Abelli, L; Coscia, MR; De Santis, A; Zeni, C; Oreste, U</t>
  </si>
  <si>
    <t>Evidence for hepato-biliary transport of immunoglobulin in the antarctic teleost fish Trematomus bernacchii</t>
  </si>
  <si>
    <t>DEVELOPMENTAL AND COMPARATIVE IMMUNOLOGY</t>
  </si>
  <si>
    <t>mucosal immunity; bile immunoglobulins; liver plasma cells; hepatobiliary transport; antarctic fish; teleost immunity</t>
  </si>
  <si>
    <t>CONTRACAECUM-OSCULATUM RUDOLPHI; DICENTRARCHUS-LABRAX L; CYPRINUS-CARPIO L; SERUM IMMUNOGLOBULIN; CHIONODRACO-HAMATUS; ANGUILLA-ANGUILLA; CUTANEOUS MUCUS; LYMPHOID-TISSUE; J-CHAIN; ARCHOSARGUS-PROBATOCEPHALUS</t>
  </si>
  <si>
    <t>Purified Trematomus bernacchii bile IgM analysed by SDS-PAGE under reducing and non-reducing conditions consisted essentially of tetramers of the basic structure H2L2. The relative molecular mass of the glycosilated H chain was 76 kDa, while that of L chain was 25 kDa. In addition, the presence in the liver of IgM and mu chain-specific mRNA was demonstrated. Immunohistochemistry detected IgH- and IgL-reactivity in perisinusoidal cells, bile canaliculi and pre-ductules. In the anterior intestine, the intraluminal mucus retained a significant Ig-immunoreactivity, while the mucosa housed a limited density of Ig-producing cells. These findings strongly indicate that Ig could be transported across the hepatocytes to be secreted into the bile and protect the intestinal epithelium. In addition, extravasated plasma cells accumulated within liver portal tracts and close to the capsule that, in turn, was evenly coated by Ig molecules at the peritoneal surface. (C) 2004 Elsevier Ltd. All rights reserved.</t>
  </si>
  <si>
    <t>Univ Ferrara, Sez Anat Comparata, Dipartimento Biol, I-44100 Ferrara, Italy; CNR, Ist Biochim Prot, I-80131 Naples, Italy</t>
  </si>
  <si>
    <t>University of Ferrara; Consiglio Nazionale delle Ricerche (CNR); Istituto di Biochimica delle Proteine (IBP-CNR)</t>
  </si>
  <si>
    <t>Univ Ferrara, Sez Anat Comparata, Dipartimento Biol, Via Borsari 46, I-44100 Ferrara, Italy.</t>
  </si>
  <si>
    <t>abl@unife.it</t>
  </si>
  <si>
    <t>Coscia, Maria Rosaria/AAU-1808-2021; ABELLI, LUIGI/B-1242-2013</t>
  </si>
  <si>
    <t>ABELLI, LUIGI/0000-0002-0344-4841</t>
  </si>
  <si>
    <t>0145-305X</t>
  </si>
  <si>
    <t>1879-0089</t>
  </si>
  <si>
    <t>DEV COMP IMMUNOL</t>
  </si>
  <si>
    <t>Dev. Comp. Immunol.</t>
  </si>
  <si>
    <t>10.1016/j.dci.2004.09.004</t>
  </si>
  <si>
    <t>Fisheries; Immunology; Veterinary Sciences; Zoology</t>
  </si>
  <si>
    <t>902OA</t>
  </si>
  <si>
    <t>WOS:000227365200005</t>
  </si>
  <si>
    <t>Storey, JWV; Ashley, MCB; Burton, MG; Lawrence, JS</t>
  </si>
  <si>
    <t>Girard, M; Casoli, F; Paletou, F</t>
  </si>
  <si>
    <t>Automated site testing from Antarctica</t>
  </si>
  <si>
    <t>Dome C: Astronomy and Astrophysics Meeting</t>
  </si>
  <si>
    <t>EAS PUBLICATIONS SERIES</t>
  </si>
  <si>
    <t>Dome C Astronomy and Astrophysics Meeting</t>
  </si>
  <si>
    <t>SOUTH-POLE; DOME-C</t>
  </si>
  <si>
    <t>Over the past decade we have developed a series of increasingly sophisticated robotic instruments for site testing in Antarctica. These range from exceedingly low power cloud monitors to fully autonomous 30 cm telescopes, and cover from the ultraviolet to the sub-mm. These instruments have been very successful at characterising the Antarctic sky, and have demonstrated beyond doubt the advantages Antarctic plateau sites offer over observatories at temperate locations.</t>
  </si>
  <si>
    <t>Univ New S Wales, Sch Phys, Sydney, NSW 2052, Australia</t>
  </si>
  <si>
    <t>Storey, JWV (corresponding author), Univ New S Wales, Sch Phys, Sydney, NSW 2052, Australia.</t>
  </si>
  <si>
    <t>Burton, Michael/0000-0001-7289-1998; Lawrence, Jon/0000-0002-6998-6993; Ashley, Michael/0000-0003-1412-2028</t>
  </si>
  <si>
    <t>E D P SCIENCES</t>
  </si>
  <si>
    <t>CEDEX A</t>
  </si>
  <si>
    <t>17 AVE DU HOGGAR PARC D ACTIVITES COUTABOEUF BP 112, F-91944 CEDEX A, FRANCE</t>
  </si>
  <si>
    <t>1633-4760</t>
  </si>
  <si>
    <t>2-86883-835-9</t>
  </si>
  <si>
    <t>EAS PUBLICATIONS</t>
  </si>
  <si>
    <t>10.1051/eas:2005003</t>
  </si>
  <si>
    <t>Astronomy &amp; Astrophysics; Instruments &amp; Instrumentation</t>
  </si>
  <si>
    <t>BCX26</t>
  </si>
  <si>
    <t>WOS:000231723200002</t>
  </si>
  <si>
    <t>Ashley, MCB; Lawrence, JS; Storey, JWV; Tokovinin, A</t>
  </si>
  <si>
    <t>Mass seeing measurements from Dome C</t>
  </si>
  <si>
    <t>DOME C: ASTRONOMY AND ASTROPHYSICS MEETING</t>
  </si>
  <si>
    <t>EAS Publications Series</t>
  </si>
  <si>
    <t>TURBULENCE</t>
  </si>
  <si>
    <t>The astronomical seeing from the Antarctic high plateau site Dome C has been a matter of speculation for over a decade. During 2004 we made the first wintertime measurements of the seeing using a Multi Aperture Scintillation Sensor (MASS), a device that is well-suited for automated unattended operation. The mean seeing was found to be 0.27 arcsec, and the seeing is better than 0.15 arcsec for 25% of the time. These extraordinarily low levels of turbulence make Dome C a superb site for future optical and infrared telescopes.</t>
  </si>
  <si>
    <t>Univ New S Wales, Sch Phys, Sydney, NSW 2052, Australia.</t>
  </si>
  <si>
    <t>m.ashley@UNSW.EDU.AU; jl@phys.unsw.edu.au; j.storey@unsw.edu.au</t>
  </si>
  <si>
    <t>Tokovinin, Andrei/AAG-3702-2020</t>
  </si>
  <si>
    <t>Tokovinin, Andrei/0000-0002-2084-0782; Lawrence, Jon/0000-0002-6998-6993; Ashley, Michael/0000-0003-1412-2028</t>
  </si>
  <si>
    <t>10.1051/eas:2005005</t>
  </si>
  <si>
    <t>WOS:000231723200004</t>
  </si>
  <si>
    <t>Valenziano, L</t>
  </si>
  <si>
    <t>Astronomical site quality in the sub-millimetric and millimetric bands at Dome C, Antarctica</t>
  </si>
  <si>
    <t>PLATEAU</t>
  </si>
  <si>
    <t>The high Antarctic plateau is considered as the best observing site on Earth in the sub-mm and mm bands. Dome C is one of the most elevated all-year-round station in this continent. Due to its peculiar location, it is also characterized by low wind speeds and very low precipitable water vapor contents. Some experiments have been brought there since 1995 and some ancillary data have been recorded. We report here the actual status of the site quality knowledge in the sub-mm and mm bands.</t>
  </si>
  <si>
    <t>IASF, Sez Bologna, CNR, INAF, I-40129 Bologna, Italy</t>
  </si>
  <si>
    <t>Istituto Nazionale Astrofisica (INAF); Consiglio Nazionale delle Ricerche (CNR)</t>
  </si>
  <si>
    <t>Valenziano, L (corresponding author), IASF, Sez Bologna, CNR, INAF, V P Gobetti 101, I-40129 Bologna, Italy.</t>
  </si>
  <si>
    <t>valenziano@bo.iasf.cnr.it</t>
  </si>
  <si>
    <t>Valenziano, Luca/0000-0002-1170-0104</t>
  </si>
  <si>
    <t>10.1051/eas:2005006</t>
  </si>
  <si>
    <t>WOS:000231723200005</t>
  </si>
  <si>
    <t>Duprat, J; Engrand, C; Maurette, M; Gounelle, M; Kurat, G; Hammer, C</t>
  </si>
  <si>
    <t>The micrometeorite program at Dome C</t>
  </si>
  <si>
    <t>ACCRETION RATE; COSMIC DUST; COLLECTION; ICE</t>
  </si>
  <si>
    <t>We launched a program to recover cosmic dust (micrometeorites) from Dome C surface snow near the French-Italian station CONCORDIA. The Dome C snow is uniquely shielded from both morainic debris and aeolian dust within the micrometeorite size range (&gt;= 25 mu m). The average temperature at Dome C ranges from -20 degrees C to -75 degrees C throughout the year. Once trapped in a cold and clean snow, the micrometeorites are expected to stay much better preserved from mechanical constraints and less altered by terrestrial Weathering than those of previous collections (mainly from Antarctic blue ice fields). We carried out 2 field expeditions in January 2000 and January 2002 using a new collection technique at Dome C. We successfully recovered micrometeorites from surface snow layers. By contrast with previous collections of micrometeorites, the particles from the CONCORDIA-Collection have suffered very little from terrestrial weathering. They have well constrained terrestrial ages. Their periods of fall overlap the ones of the particles found in the stratospheric interplanetary dust collections (IDPs) made by NASA. Because the precipitation rate is extremely low at Dome C, it is technically possible to exploit large areas (several tens of m(2) year) of annual snow layers formed up to 3 centuries ago, which allows searching for cometary particles from historical meteor showers.</t>
  </si>
  <si>
    <t>CSNSM, F-91406 Orsay, France</t>
  </si>
  <si>
    <t>Universite Paris Saclay</t>
  </si>
  <si>
    <t>Duprat, J (corresponding author), CSNSM, Bat 104,Orsay Campus, F-91406 Orsay, France.</t>
  </si>
  <si>
    <t>10.1051/eas:2005009</t>
  </si>
  <si>
    <t>WOS:000231723200008</t>
  </si>
  <si>
    <t>Dall'Oglio, G</t>
  </si>
  <si>
    <t>Millimetric results and perspective</t>
  </si>
  <si>
    <t>The OASI group have been active in Antarctica since 1986: from the pioneering period, though the 2.62 m mm telescope activity at Terra Nova Bay to the first observing campaigns at Dome C. The group activity significantely contributed to the development of mm Italian Antarctic astronomy, acting as a pathfinder for present success and future development. The overall italian activity is characterised by interesting scientific results, obtained even when adequate funding was not available. The historical evolution of the italian mm activities in Antarctica will be illustrated and the perspective for future experiments will be reported.</t>
  </si>
  <si>
    <t>Univ Roma TRE, Dipartimento Fis, Rome, Italy</t>
  </si>
  <si>
    <t>Roma Tre University</t>
  </si>
  <si>
    <t>Dall'Oglio, G (corresponding author), Univ Roma TRE, Dipartimento Fis, Rome, Italy.</t>
  </si>
  <si>
    <t>10.1051/eas:2005011</t>
  </si>
  <si>
    <t>WOS:000231723200010</t>
  </si>
  <si>
    <t>Swain, MR</t>
  </si>
  <si>
    <t>The potential for exoplanet science with infrared interferometry at Dome C</t>
  </si>
  <si>
    <t>NIGHT-SKY BRIGHTNESS; SOUTH-POLE; ANTARCTIC PLATEAU; GIANT PLANETS; MAUNA-KEA</t>
  </si>
  <si>
    <t>The atmosphere above the Concordia station at Dome C Antarctica offers unique advantages to infrared interferometry. No other astronomical technique experiences comparable performance gains relative to other good sites. The dramatic improvement in infrared interferometry performance at the Dome C site enables a relatively modest instrument, based on three similar to 2 m class telescopes, to be capable of extensive unique discovery space science; such an instrument would be especially well-suited to the study of extrasolar planets. The conditions at Concordia are the closest Earth analog to those of space and potentially provide a stepping stone to proposed space interferometers, such as Darwin and TPFI, that will search for biomarkers on other habitable worlds - worlds that may well have been detected initially by an infrared interferometer operating at Dome C.</t>
  </si>
  <si>
    <t>Observ Grenoble, Astrophys Lab, F-38041 Grenoble, France</t>
  </si>
  <si>
    <t>Swain, MR (corresponding author), Observ Grenoble, Astrophys Lab, 414 Rue Piscine,BP 53, F-38041 Grenoble, France.</t>
  </si>
  <si>
    <t>swain@s383.jpl.nasa.gov</t>
  </si>
  <si>
    <t>10.1051/eas:2005023</t>
  </si>
  <si>
    <t>WOS:000231723200022</t>
  </si>
  <si>
    <t>Busso, M; Tosti, G; Roncella, F; Bagaglia, M; Nucciarelli, G; Fastellini, R; Straniero, O; Dolci, M; Ragni, M; Di Varano, I; Corcione, L; Abia, C; Dominguez, I; Rossi, F; Nicolini, A</t>
  </si>
  <si>
    <t>The IRAIT project - Infrared astronomy from Antarctica</t>
  </si>
  <si>
    <t>The Concordia Station (Candidi 2003), on the Antarctica Plateau, will soon become one of the best observatories to perform infrared observations in the 2-20 mu m atmospheric windows and beyond, thanks to its low sky background, low temperature and high atmospheric transparency. The possibility of passively cooling the telescope is a further advantage. We describe here the first permanent Antarctic infrared telescope, under development for the Dome C base. It is the International Robotic Antarctic Infrared Telescope (IRAIT). We briefly outline a few scientific motivations for it, then we review the technical characteristics and the status of its development. The infrared camera for IRAIT is described in another dedicated paper in this volume.</t>
  </si>
  <si>
    <t>Univ Perugia, Dept Phys, I-06100 Perugia, Italy</t>
  </si>
  <si>
    <t>University of Perugia</t>
  </si>
  <si>
    <t>Busso, M (corresponding author), Univ Perugia, Dept Phys, I-06100 Perugia, Italy.</t>
  </si>
  <si>
    <t>Nicolini, Andrea/D-3718-2011; Tosti, Gino/E-9976-2013; Abia Ladron De Guevara, Carlos Antonio/O-9585-2017; Busso, Maurizio Maria/K-7075-2015</t>
  </si>
  <si>
    <t>Nicolini, Andrea/0000-0003-4026-0563; Tosti, Gino/0000-0002-0839-4126; Straniero, Oscar/0000-0002-5514-6125; Dolci, Mauro/0000-0001-8000-5642; Abia Ladron De Guevara, Carlos Antonio/0000-0002-5665-2716; Dominguez Aguilera, Inmaculada/0000-0002-3827-4731; Rossi, Federico/0000-0001-8293-9457; corcione, leonardo/0000-0002-6497-5881; Busso, Maurizio Maria/0000-0001-8944-5820</t>
  </si>
  <si>
    <t>10.1051/eas:2005028</t>
  </si>
  <si>
    <t>WOS:000231723200027</t>
  </si>
  <si>
    <t>du Foresto, VC; Swain, M; Vakili, F</t>
  </si>
  <si>
    <t>Interferometric spectrophotometry of pegasides: APISD the Antarctic Plateau interferometer science demonstrator</t>
  </si>
  <si>
    <t>ATMOSPHERE</t>
  </si>
  <si>
    <t>We propose a science demonstration experiment for antarctic stellar interferometry, dedicated to the goal of obtaining the first low-resolution spectra in the thermal infrared of a few hot Jupiter type exoplanets. It would provide a unique platform to acquire operational experience, and build up an extensive database on the relevant site properties at Dome C, as a preparation for a more ambitious facility.</t>
  </si>
  <si>
    <t>Observ Paris, LESIA, F-92190 Meudon, France</t>
  </si>
  <si>
    <t>Universite PSL; Observatoire de Paris</t>
  </si>
  <si>
    <t>du Foresto, VC (corresponding author), Observ Paris, LESIA, F-92190 Meudon, France.</t>
  </si>
  <si>
    <t>10.1051/eas:2005032</t>
  </si>
  <si>
    <t>WOS:000231723200031</t>
  </si>
  <si>
    <t>Olmi, L; Pelosi, G; Piccirillo, L; Saraceno, P; Sironi, G; Storey, JWV</t>
  </si>
  <si>
    <t>ASO: An Antarctic submillimeter observatory</t>
  </si>
  <si>
    <t>Due to the typical high atmospheric noise and low transparency, submillimeter observations can be carried out only from sites with very high atmospheric stability and very low precipitable water vapour content. The Antarctic Plateau is important because of its remarkable atmospheric transparency and stability. Logistical difficulties have limited till now the exploitation of the unprecendented potential of Antarctica as a site for submillimeter observations. The opening of Concordia Station at Dome C is now offering to the international astronomical community a unique opportunity to perform ground-breaking astronomical science. The proposal from our multi-national group represents a first step toward the realization of an international Antarctic Submillimeter Observatory (ASO) based on a telescope with a large collecting area (12 m diameter) to carry out both continuum and spectral line observations, particularly in the 200 and 225 mu m atmospheric windows and possibly also in the Mid InfraRed at wavelengths &gt;= 40 mu m.</t>
  </si>
  <si>
    <t>Inst Radioastron, Florence, Italy</t>
  </si>
  <si>
    <t>Olmi, L (corresponding author), Inst Radioastron, Florence, Italy.</t>
  </si>
  <si>
    <t>Olmi, Luca/0000-0002-1162-7947</t>
  </si>
  <si>
    <t>10.1051/eas:2005034</t>
  </si>
  <si>
    <t>WOS:000231723200033</t>
  </si>
  <si>
    <t>Boella, G; Gervasi, M; Passerini, A; Sironi, G; Tartari, A; Zannoni, M; Natale, V</t>
  </si>
  <si>
    <t>Master: A radiometer for MM and sub-MM observations from the Antarctic Plateau</t>
  </si>
  <si>
    <t>HIGH-REDSHIFT; CO; ABSORPTION; B0218+357; LINES</t>
  </si>
  <si>
    <t>A radiometer based on SIS mixers for astrophysical observations is being assembled. The system, cooled to cryogenic temperature by a pulse tube refrigerator, is intended for operation on the Antartic Plateau during the local winter, using the mm dishes available there in the future. The system prototype will be tested at the focus of the 2.6 in MITO telescope at the Testa Grigia Observatory on the italian Alps. We discuss the system characteristics and the observational programs.</t>
  </si>
  <si>
    <t>Univ Milano Bicocca, Phys Dept G Occhialini, I-20126 Milan, Italy</t>
  </si>
  <si>
    <t>University of Milano-Bicocca</t>
  </si>
  <si>
    <t>Boella, G (corresponding author), Univ Milano Bicocca, Phys Dept G Occhialini, Piazza Sci 3, I-20126 Milan, Italy.</t>
  </si>
  <si>
    <t>Gervasi, Massimo/AAG-7022-2020; Tartari, Andrea/AAE-7150-2019; Zannoni, Mario/H-6391-2017</t>
  </si>
  <si>
    <t>Tartari, Andrea/0000-0003-3082-138X; Zannoni, Mario/0000-0002-4495-571X</t>
  </si>
  <si>
    <t>10.1051/eas:2005037</t>
  </si>
  <si>
    <t>WOS:000231723200036</t>
  </si>
  <si>
    <t>Boella, G; De Lucia, A; Gervasi, M; Grossetti, G; Passerini, A; Sironi, G; Tartari, A; Zannoni, M</t>
  </si>
  <si>
    <t>CMB polarimetry from the Antarctic Plateau</t>
  </si>
  <si>
    <t>INSTRUMENTAL POLARIZATION; MICROWAVE</t>
  </si>
  <si>
    <t>The Milano Polarimeter (MiPol), a correlation system with phase modulation has been built for the studies of the CMB polarization at large angular scales. At present the system is at the Testa Grigia Observatory on the Italian Alps (3480 m asl). We are ready to bring it to Dome Concordia for observations during the Antarctic winter beginning in March 2006. We discuss the system performance, its sensitivity and the status of the searches for CMB polarization.</t>
  </si>
  <si>
    <t>Univ Milano Bicocca, Dept Phys, Milan, Italy</t>
  </si>
  <si>
    <t>Univ Milano Bicocca, Dept Phys, Milan, Italy.</t>
  </si>
  <si>
    <t>boella@mib.infn.it; gervasi@mib.infn.it; giorgio.sironi@mib.infn.it; tartari@mib.infn.it; zannoni@mi.iasf.cnr.it</t>
  </si>
  <si>
    <t>Tartari, Andrea/AAE-7150-2019; Gervasi, Massimo/AAG-7022-2020; Zannoni, Mario/H-6391-2017</t>
  </si>
  <si>
    <t>Tartari, Andrea/0000-0003-3082-138X; Zannoni, Mario/0000-0002-4495-571X; Grossetti, Giovanni/0000-0003-4330-8438</t>
  </si>
  <si>
    <t>10.1051/eas:2005041</t>
  </si>
  <si>
    <t>WOS:000231723200040</t>
  </si>
  <si>
    <t>Cacciani, A; Rapex, P; Massa, F; Briguglio, R; Jefferies, SM; Finsterle, W; Giebink, C; Knox, A</t>
  </si>
  <si>
    <t>Diagnostic of the solar atmosphere through two level Doppler and magnetic measurements</t>
  </si>
  <si>
    <t>This contribution describes our solar project at the Antarctic sites of Baia Terranova, South Pole and Dome-C. The project is based on a multi-level helioseismology analysis, aimed to study, for the first time, the local properties of the solar atmosphere. In addition, we plan to detect the presence of Alfven waves in and around the active regions, as an energy transfer vehicle from sunspots towards the corona. The technology used is the well known compact, stable, relatively unexpensive and still improving MOF (Magneto-Optical Filter).</t>
  </si>
  <si>
    <t>Univ Roma La Sapienza, Dipartimento Fis, I-00185 Rome, Italy</t>
  </si>
  <si>
    <t>Cacciani, A (corresponding author), Univ Roma La Sapienza, Dipartimento Fis, Piazzale Aldo Moro 2, I-00185 Rome, Italy.</t>
  </si>
  <si>
    <t>Briguglio, Runa/0000-0002-0495-0543</t>
  </si>
  <si>
    <t>10.1051/eas:2005042</t>
  </si>
  <si>
    <t>WOS:000231723200041</t>
  </si>
  <si>
    <t>Lawrence, JS; Burton, MG; Ashley, MCB; Storey, JWV</t>
  </si>
  <si>
    <t>Pathfinder for an international large optical telescope</t>
  </si>
  <si>
    <t>PILOT (Pathfinder for an International Large Optical Telescope) is a proposed 2 m class optical/infrared telescope to be sited at Dome C on the Antarctic plateau. Recent site testing results from Dome C have shown remarkable ground level seeing, a large isoplanatic angle, and a long atmospheric coherence time. These factors significantly improve the resolution and increase the capabilities of adaptive optics systems. Additionally, the low sky emission at Dome C gives a significant increase in infrared sensitivity compared to typical mid-latitude sites. PILOT is envisaged as a winterised version of a commercially available 2 m class telescope, with a simple low cost dome (sufficient for the low ground level wind speeds), and a tip-tilt and/or a deformable secondary mirror. A number of science cameras covering the visible to the sub-millimetre are being considered.</t>
  </si>
  <si>
    <t>Lawrence, JS (corresponding author), Univ New S Wales, Sch Phys, Sydney, NSW 2052, Australia.</t>
  </si>
  <si>
    <t>Burton, Michael/0000-0001-7289-1998; Ashley, Michael/0000-0003-1412-2028; Lawrence, Jon/0000-0002-6998-6993</t>
  </si>
  <si>
    <t>10.1051/eas:2005051</t>
  </si>
  <si>
    <t>WOS:000231723200050</t>
  </si>
  <si>
    <t>Dolci, M; Valentini, G; Straniero, O; Di Rico, G; Ragni, M; Pelusi, D; Giuliani, C; Di Cianno, A; Di Varano, I; Tosti, G; Busso, M; Corcione, L</t>
  </si>
  <si>
    <t>AMICA:: The Antarctic Mid-Infrared Camera for the IRAIT telescope</t>
  </si>
  <si>
    <t>We report a preliminary study of the main focal plane instrument for the IRAIT telescope, currently being built at INAF-Astronomical Observatory of Teramo. The basic requirements are those of a remotely-controlled camera aimed to perform 10- and 20-mu m photometry from Dome-C in the standard bandpasses N and Q. Starting from the site properties and the science goals, the main components of AMICA (Antarctic Mid-Infrared CAmera) are described: a Si:As BIB array detector, sensitive in the range 2-28 mu m; a fully reflective optical design; a cryostat modified in order to work at the extreme environmental conditions of the antarctic plateau; a cryocooler maintaining the operating temperature of 4.2 K without external intervention; an automatized and flexible control electronics. AMICA is designed to fully exploit the unique mid-infrared observing conditions at Dome-C.</t>
  </si>
  <si>
    <t>Osserv Astron Collurania Teramo, INAF, I-64100 Teramo, Italy</t>
  </si>
  <si>
    <t>Istituto Nazionale Astrofisica (INAF)</t>
  </si>
  <si>
    <t>Dolci, M (corresponding author), Osserv Astron Collurania Teramo, INAF, Via Maggini, I-64100 Teramo, Italy.</t>
  </si>
  <si>
    <t>Tosti, Gino/E-9976-2013; Busso, Maurizio Maria/K-7075-2015</t>
  </si>
  <si>
    <t>Tosti, Gino/0000-0002-0839-4126; Straniero, Oscar/0000-0002-5514-6125; corcione, leonardo/0000-0002-6497-5881; Busso, Maurizio Maria/0000-0001-8944-5820; Dolci, Mauro/0000-0001-8000-5642; Di Rico, Gianluca/0000-0002-5213-8269</t>
  </si>
  <si>
    <t>10.1051/eas:2005054</t>
  </si>
  <si>
    <t>WOS:000231723200053</t>
  </si>
  <si>
    <t>Minier, V; Revéret, V; Rodriguez, L; Le Pennec, J; André, P; Horeau, B; Agnèse, P</t>
  </si>
  <si>
    <t>CEA development of filled bolometer arrays at submillimeter wavelengths -: A possible application to ground-based telescopes at Dome C</t>
  </si>
  <si>
    <t>HIGH-ANTARCTIC PLATEAU</t>
  </si>
  <si>
    <t>Accompanying the development of the PACS photometer camera (60-210 mu m) on the Herschel Space Observatory, CEA/SAp and CEA/LETI have developed a new type of filled bolometer arrays. We present a camera using these CCD-like detectors for ground-based submillimeter applications. Such an instrument could potentially be operated in all atmospheric windows between 200 and 870 mu m on a submillimetre-wave single-dish telescope at Dome C. A bolometer array could consist of several monolithic units of 16 x 16 pixels (as an example the blue and red PACS arrays consist of 4 x 2 and 2 x 1 units, respectively), providing a full sampling of the focal plane.</t>
  </si>
  <si>
    <t>CE Saclay, CEA, DAPNIA, DSM,Serv Astrophys, F-91191 Gif Sur Yvette, France</t>
  </si>
  <si>
    <t>CEA; Universite Paris Saclay</t>
  </si>
  <si>
    <t>CE Saclay, CEA, DAPNIA, DSM,Serv Astrophys, F-91191 Gif Sur Yvette, France.</t>
  </si>
  <si>
    <t>Revéret, Vincent/AAO-8886-2020</t>
  </si>
  <si>
    <t>10.1051/eas:2005055</t>
  </si>
  <si>
    <t>WOS:000231723200054</t>
  </si>
  <si>
    <t>Ferretti, P; Shackleton, NJ; Rio, D; Hall, MA</t>
  </si>
  <si>
    <t>Head, MJ; Gibbard, PL</t>
  </si>
  <si>
    <t>Early-Middle Pleistocene deep circulation in the western subtropical Atlantic: southern hemisphere modulation of the North Atlantic Ocean</t>
  </si>
  <si>
    <t>EARLY-MIDDLE PLEISTOCENE TRANSITIONS: THE LAND-OCEAN EVIDENCE</t>
  </si>
  <si>
    <t>Geological Society Special Publication</t>
  </si>
  <si>
    <t>International Conferene on Early-Middle Pleistocene Transitions</t>
  </si>
  <si>
    <t>APR 04, 2003</t>
  </si>
  <si>
    <t>Univ Cambridge, Dept Geography, Cambridge, ENGLAND</t>
  </si>
  <si>
    <t>Univ Cambridge, Dept Geography</t>
  </si>
  <si>
    <t>THERMOHALINE CIRCULATION; WATER CIRCULATION; CLIMATE-CHANGE; BERMUDA RISE; VARIABILITY; C-13; MIDPLEISTOCENE; STRATIGRAPHY; CALIBRATION; TIMESCALES</t>
  </si>
  <si>
    <t>Early-Middle Pleistocene climate and deep ocean hydrography have been reconstructed using oxygen and carbon isotope ratio measurements in planktonic and benthic foraminifera from a high-deposition-rate sedimentary succession recovered at the Bermuda Rise, in the northern Sargasso Sea (Ocean Drilling Program Leg 172, Site 1063). The site's water depth makes it sensitive to changes in the balance between North Atlantic Deep Water (NADW) and Antarctic Bottom Water (AABW) in the deep North Atlantic, allowing the evaluation of perturbations in deep water production at different timescales. Millennial-scale fluctuations, superimposed on the longer period oscillations of orbital origin, occurred during all the observed climate states. The highest amplitude sub-Milankovitch fluctuations were mainly associated with interglacials, particularly after the intensification of the glacial regime at c. 900 ka. Using the benthic carbon isotope signal as a water mass tracer, and by comparing the delta C-13 record to a suite of drill sites in the North Atlantic and Pacific oceans, it has been possible to infer that the relative strength of AABW production varied through time, as did that of NADW. A scenario in which the two different source components of deep water can undergo dramatic changes in their circulation regime through time should be taken into consideration when evaluating the role of thermohaline circulation in global climate change.</t>
  </si>
  <si>
    <t>Univ Cambridge, Dept Earth Sci, Godwin Lab, Cambridge CB2 3SA, England</t>
  </si>
  <si>
    <t>Univ Cambridge, Dept Earth Sci, Godwin Lab, New Museums Site,Pembroke St, Cambridge CB2 3SA, England.</t>
  </si>
  <si>
    <t>patrizia00@esc.cam.ac.uk</t>
  </si>
  <si>
    <t>FERRETTI, Patrizia/0000-0002-4814-3655</t>
  </si>
  <si>
    <t>GEOLOGICAL SOC PUBLISHING HOUSE</t>
  </si>
  <si>
    <t>UNIT 7, BRASSMILL ENTERPRISE CTR, BRASSMILL LANE, BATH BA1 3JN, AVON, ENGLAND</t>
  </si>
  <si>
    <t>0305-8719</t>
  </si>
  <si>
    <t>1-86239-181-5</t>
  </si>
  <si>
    <t>GEOL SOC SPEC PUBL</t>
  </si>
  <si>
    <t>Geol. Soc. Spec. Publ.</t>
  </si>
  <si>
    <t>10.1144/GSL.SP.2005.247.01.07</t>
  </si>
  <si>
    <t>Geology; Geosciences, Multidisciplinary; Paleontology</t>
  </si>
  <si>
    <t>BDS61</t>
  </si>
  <si>
    <t>WOS:000235186200007</t>
  </si>
  <si>
    <t>Ivins, ER; Rignot, E; Wu, XP; James, TS; Casassa, G</t>
  </si>
  <si>
    <t>Reigber, C; Luhr, H; Schwintzer, P; Wickert, J</t>
  </si>
  <si>
    <t>Ice mass balance and Antarctic gravity change: Satellite and terrestrial perspectives</t>
  </si>
  <si>
    <t>EARTH OBSERVATION WITH CHAMP: RESULTS FROM THREE YEARS ORBIT</t>
  </si>
  <si>
    <t>2nd CHAMP Science Meeting</t>
  </si>
  <si>
    <t>SEP 01-04, 2003</t>
  </si>
  <si>
    <t>GFZ Potsdam, Potsdam, GERMANY</t>
  </si>
  <si>
    <t>GFZ Potsdam</t>
  </si>
  <si>
    <t>CHAMP; GRACE; sealevel rise; cryosphere</t>
  </si>
  <si>
    <t>PENINSULA; GOCE; VARIABILITY; PREDICTIONS; TRACKING; DRIVEN; CHAMP; SHEET; GRACE; EARTH</t>
  </si>
  <si>
    <t>Recent advances in the spatial and temporal retrieval of land-based cryospheric change information south of 42.5degrees allow fairly robust, construction of forward model predictions of the time-rate of change in gravity. A map-view prediction is presented for the time-rate of change in geoid. dN/dt, that, might, be retrieved from the currently orbiting gravity space craft.. CHAMP (Challenging Mini-Satellite PayIoad for Geophysical Research and Application) and/or GRACE (Gravity Recovery and Climate Experiment). Complementary computation of the surface gravity change, ddeltag/dt, is also presented. The latter call be recovered from terrestrial absolute gravity measurements. Also, the computed rate of change Stokes coefficients for degree and order l, m 1-12 may be used as reliable estimates of the Southern Hemisphere cryospheric change contribution to the global low-degree harmonic variability recorded in multidecadal satellite laser ranging (SLR) data sets.</t>
  </si>
  <si>
    <t>Jet Propuls Lab, Pasadena, CA 91109 USA</t>
  </si>
  <si>
    <t>National Aeronautics &amp; Space Administration (NASA); NASA Jet Propulsion Laboratory (JPL)</t>
  </si>
  <si>
    <t>Ivins, ER (corresponding author), Jet Propuls Lab, Pasadena, CA 91109 USA.</t>
  </si>
  <si>
    <t>eri@fryxell.jpl.nasa.gov</t>
  </si>
  <si>
    <t>Ivins, Erik R/C-2416-2011; James, Thomas/D-9301-2013; Casassa, Gino/AAX-6142-2020; Rignot, Eric/A-4560-2014</t>
  </si>
  <si>
    <t>James, Thomas/0000-0001-7321-047X; Rignot, Eric/0000-0002-3366-0481</t>
  </si>
  <si>
    <t>SPRINGER-VERLAG BERLIN</t>
  </si>
  <si>
    <t>HEIDELBERGER PLATZ 3, D-14197 BERLIN, GERMANY</t>
  </si>
  <si>
    <t>3-540-22804-7</t>
  </si>
  <si>
    <t>10.1007/3-540-26800-6_1</t>
  </si>
  <si>
    <t>Geochemistry &amp; Geophysics; Meteorology &amp; Atmospheric Sciences; Remote Sensing</t>
  </si>
  <si>
    <t>BBM30</t>
  </si>
  <si>
    <t>WOS:000226132800001</t>
  </si>
  <si>
    <t>Kim, HR; Gaya-Piqué, LR; von Frese, RRB; Taylor, PT; Kim, JW</t>
  </si>
  <si>
    <t>CHAMP magnetic anomalies of the Antarctic crust</t>
  </si>
  <si>
    <t>CHAMP; magnetic anomalies; Antarctica; crustal thickness</t>
  </si>
  <si>
    <t>GRAVITY; FIELD; MODEL</t>
  </si>
  <si>
    <t>Regional magnetic signals of the crust are strongly masked by the core field and its secular variation components and hence difficult to isolate in the satellite measurements. In particular, the un-modeled effects of the strong auroral external fields and the complicated behavior of the core field near the geomagnetic poles conspire to greatly reduce the crustal magnetic signal-to-noise ratio in the polar regions relative to the rest of the Earth. We can, however, use spectral correlation theory to filter the static lithospheric anomalies and core field component, from the dynamic external field effects. To help isolate regional lithospheric from core field components, the correlations between CHAMP magnetic anomalies and the pseudo-magnetic effects inferred from gravity-derived crustal thickness variations can also be exploited. Employing these procedures, we processed the CHAMP magnetic observations for an improved magnetic anomaly map of the Antarctic crust. Relative to the much higher altitude Orsted and noisier Magsat observations, the CHAMP magnetic anomalies at 400 kill altitude reveal new details on the effects of intracrustal magnetic features and crustal thickness variations of the Antarctic.</t>
  </si>
  <si>
    <t>Univ Maryland Baltimore Cty, GEST, GSFC, NASA, Greenbelt, MD USA</t>
  </si>
  <si>
    <t>University System of Maryland; University of Maryland Baltimore County; National Aeronautics &amp; Space Administration (NASA); NASA Goddard Space Flight Center</t>
  </si>
  <si>
    <t>Univ Maryland Baltimore Cty, GEST, GSFC, NASA, Greenbelt, MD USA.</t>
  </si>
  <si>
    <t>Taylor, Patrick T/D-4707-2012</t>
  </si>
  <si>
    <t>Taylor, Patrick T/0000-0002-1212-9384</t>
  </si>
  <si>
    <t>10.1007/3-540-26800-6_41</t>
  </si>
  <si>
    <t>WOS:000226132800041</t>
  </si>
  <si>
    <t>Gaya-Piqué, LR; De Santis, A; Torta, JM</t>
  </si>
  <si>
    <t>Use of Champ magnetic data to improve the Antarctic geomagnetic Reference Model</t>
  </si>
  <si>
    <t>regional modeling; main geomagnetic field; spherical cap harmonic analysis</t>
  </si>
  <si>
    <t>FIELD</t>
  </si>
  <si>
    <t>Champ total field measurements have been used to develop the new version of the Antarctic geomagnetic Reference Model (ARM). The model was conceived as a tool to evaluate the main field in Antarctica, facilitating the merging of different magnetic surveys carried on in the region from 1960 onwards. Spherical cap harmonic analysis was used to produce the model. Together with data coming from POGO, Magsat. and Orsted Satellite missions, a suitable selection of Champ data based on different criteria was performed to minimise the effect of external fields. The comparison of ARM and other global models with regard to real data demonstrates the validity of our regional model, specially for the representation of the secular variation of the geomagnetic field. Since Champ satellite tracks cover the Geographical South Pole better than other satellite missions. this fact contributed to improve the model in the central region of the cap.</t>
  </si>
  <si>
    <t>Ist Nazl Geofis &amp; Vulcanol, I-00143 Rome, Italy</t>
  </si>
  <si>
    <t>Gaya-Piqué, LR (corresponding author), Ist Nazl Geofis &amp; Vulcanol, Via Vigna Murata 605, I-00143 Rome, Italy.</t>
  </si>
  <si>
    <t>De Santis, Angelo/AAG-2895-2021; Torta, Joan Miquel/C-7614-2014</t>
  </si>
  <si>
    <t>Torta, Joan Miquel/0000-0002-4340-7308</t>
  </si>
  <si>
    <t>10.1007/3-540-26800-6_50</t>
  </si>
  <si>
    <t>WOS:000226132800050</t>
  </si>
  <si>
    <t>Kim, HR; von Frese, RRB; Golynsky, AV; Taylor, PT; Kim, JW</t>
  </si>
  <si>
    <t>Crustal analysis of maud rise from combined satellite and near-surface magnetic survey data</t>
  </si>
  <si>
    <t>EARTH PLANETS AND SPACE</t>
  </si>
  <si>
    <t>23rd General Assembly of the International-Union-of-Geodesy-and Geophysics</t>
  </si>
  <si>
    <t>JUL, 2003</t>
  </si>
  <si>
    <t>Maud rise; magnetic anomaly; Antarctic geology; aeromagnetic data; Orsted; tectonic reconstructions</t>
  </si>
  <si>
    <t>SPHERICAL-EARTH GRAVITY; REMANENT MAGNETIZATION; EAST ANTARCTICA; AGULHAS PLATEAU; INDIAN-OCEAN; ANOMALIES; MAGSAT; FIELD; CONTINENT; POGO</t>
  </si>
  <si>
    <t>We produced a crustal magnetization model for the Maud Rise in the southwest Indian Ocean off the coast of East Antarctica using magnetic observations from the Orsted satellite and near-surface surveys complied by the Antarctic Digital Magnetic Anomaly Project (ADMAP). Joint inversion of the two anomaly fields suggests that the magnetic effects due to crustal thickness variations and remanence involving the normal polarity Cretaceous Quiet Zone (KQZ) dominate at satellite altitude (similar to 700 km). The crustal thickness effects were modeled in the Orsted data using crustal thickness variations derived from satellite altitude gravity data. Modeling of the residual Orsted and near-surface magnetic anomalies supports extending the KQZ eastwards to the Astrid Ridge. The remaining near-surface anomalies involve crustal features with relatively high frequency effects that are strongly attenuated at satellite altitudes. The crustal modeling can be extended by the satellite magnetic anomalies across the Indian Ocean Ridge for insight on the crustal properties of the conjugate Agulhas Plateau. The modeling supports the Jurassic reconstruction of Gondwana when the African Limpopo-Zambezi and East Antarctic Princess Astrid coasts were connected as part of a relatively demagnetized crustal block.</t>
  </si>
  <si>
    <t>Univ Maryland Baltimore Cty, NASA, Goddard Space Flight Ctr, Planetary Geodynam Lab, Greenbelt, MD USA; Ohio State Univ, Dept Geol Sci, Columbus, OH 43210 USA; VNII Okeangeol, St Petersburg, Russia; NASA, Goddard Space Flight Ctr, Planetary Geodynam Lab, Greenbelt, MD 20771 USA; Sejong Univ, Dpt Geoinformat Engn, Seoul, South Korea</t>
  </si>
  <si>
    <t>University System of Maryland; University of Maryland Baltimore County; National Aeronautics &amp; Space Administration (NASA); NASA Goddard Space Flight Center; University System of Ohio; Ohio State University; National Aeronautics &amp; Space Administration (NASA); NASA Goddard Space Flight Center; Sejong University</t>
  </si>
  <si>
    <t>Univ Maryland Baltimore Cty, NASA, Goddard Space Flight Ctr, Planetary Geodynam Lab, Greenbelt, MD USA.</t>
  </si>
  <si>
    <t>kimhr@core2.gsfc.nasa.gov</t>
  </si>
  <si>
    <t>Taylor, Patrick T/0000-0002-1212-9384; Golynsky, Alexander/0000-0003-2546-4082; Kim, Hyung Rae/0000-0002-6576-9457</t>
  </si>
  <si>
    <t>SPRINGEROPEN</t>
  </si>
  <si>
    <t>CAMPUS, 4 CRINAN ST, LONDON, N1 9XW, ENGLAND</t>
  </si>
  <si>
    <t>1880-5981</t>
  </si>
  <si>
    <t>EARTH PLANETS SPACE</t>
  </si>
  <si>
    <t>Earth Planets Space</t>
  </si>
  <si>
    <t>10.1186/BF03351851</t>
  </si>
  <si>
    <t>968ER</t>
  </si>
  <si>
    <t>WOS:000232145200005</t>
  </si>
  <si>
    <t>Ferraccioli, F; Jones, PC; Curtis, ML; Leat, PT; Riley, IR</t>
  </si>
  <si>
    <t>Tectonic and magmatic patterns in the Jutulstraumen rift (?) region, East Antarctica, as imaged by high-resolution aeromagnetic data</t>
  </si>
  <si>
    <t>aeromagnetic anomalies; rift; Jutulstraumen; East Antarctica</t>
  </si>
  <si>
    <t>DRONNING-MAUD-LAND; EARLY PALEOZOIC SUBDUCTION; LARGE IGNEOUS PROVINCE; TRANSANTARCTIC MOUNTAINS; SOUTHERN AFRICA; VICTORIA LAND; GONDWANA; SYSTEM; PETROGENESIS; CONSTRAINTS</t>
  </si>
  <si>
    <t>The Jutulstraumen ice stream in western Dronning Maud Land may conceal a Jurassic continental rift. Delineating the geometry and the magmatic patterns of this inferred glaciated rift in East Antarctica is important to improve our understanding of the regional tectonic and magmatic processes associated with Gondwana break-up. A high-resolution aeromagnetic survey provides new insights over the largely buried tectonic and magmatic patterns of the Jutulstraumen area. Prominent NE-SW oriented aeromagnetic trends are detected over the Jutulstraumen. These trends delineate major inherited structural boundaries, active in Grenvillian (about 1. 1 Ga) and Pan-African times (about 500 Ma), which appear to strongly control the location of the later Jurassic rift. The postulated eastern flank of the rift is marked by a broad positive anomaly over H. U. Sverdrupfjella. Buried Grenvillian age rocks may be the source of the long-wavelength anomaly. However, the higher frequency components correlate with granitoids of late Pan-African age. The inferred western flank of the rift features short-wavelength anomalies over the Borgmassivet and Ahlmannryggen areas, indicating a considerably greater extent of mid-Proterozoic tholeiitic sills than apparent in outcrop. In contrast, aeromagnetic signatures suggest that alkaline plutons, which relate to Jurassic rifting, are restricted to outcrop areas along the eastern rift flank. The prominent magnetic low over the Jutulstraurnen indicates either a largely amagmatic rift, or perhaps subglacial sediments within the rift basin.</t>
  </si>
  <si>
    <t>ffe@bas.ac.uk</t>
  </si>
  <si>
    <t>Curtis, Mike/HKV-6176-2023</t>
  </si>
  <si>
    <t>Riley, Teal/0000-0002-3333-5021; Ferraccioli, Fausto/0000-0002-9347-4736</t>
  </si>
  <si>
    <t>10.1186/BF03351856</t>
  </si>
  <si>
    <t>WOS:000232145200010</t>
  </si>
  <si>
    <t>Sabo, JL; Sponseller, R; Dixon, M; Gade, K; Harms, T; Heffernan, J; Jani, A; Katz, G; Soykan, C; Watts, J; Welter, A</t>
  </si>
  <si>
    <t>Riparian zones increase regional species richness by harboring different, not more, species</t>
  </si>
  <si>
    <t>conservation planning; regional diversity; riparian zone; river; similarity; species diversity; species richness; turnover; upland; watershed reserves</t>
  </si>
  <si>
    <t>LOWER NAHAL OREN; EVOLUTION-CANYON-II; MOUNT-CARMEL; SPATIOTEMPORAL DISTRIBUTION; MICROCLIMATIC DIFFERENCES; INTERSLOPE DIVERGENCE; SOIL MICROFUNGI; SMALL STREAMS; UPPER GALILEE; BUFFER WIDTH</t>
  </si>
  <si>
    <t>Riparian zones are habitats of critical conservation concern worldwide, as they are known to filter agricultural contaminants, buffer landscapes against erosion, and provide habitat for high numbers of species. Here we test the generality of the notion that riparian habitats harbor more species than adjacent upland habitats. Using previously published data collected from seven continents and including taxa ranging from Antarctic soil invertebrates to tropical rain forest lianas and primates, we show that riparian habitats do not harbor higher numbers of species, but rather support significantly different species pools altogether. In this way, riparian habitats increase regional (gamma-) richness across the globe by &gt;50%, on average. Thus conservation planners can easily increase the number of species protected in a regional portfolio by simply including a river within terrestrial biodiversity reserves. Our analysis also suggests numerous possible improvements for future studies of species richness gradients across riparian and upland habitats. First, &lt;15% of the studies in our analysis included estimates of more than one taxonomic group of interest. Second, within a given taxonomic group, studies employed variable methodologies and sampling areas in pursuit of richness and turnover estimates. Future analyses of species richness patterns in watersheds should aim to include a more comprehensive suite of taxonomic groups and should measure richness at multiple spatial scales.</t>
  </si>
  <si>
    <t>Arizona State Univ, Fac Ecol Evolut &amp; Environm Sci, Sch Life Sci, Tempe, AZ 85287 USA</t>
  </si>
  <si>
    <t>Arizona State University; Arizona State University-Tempe</t>
  </si>
  <si>
    <t>Arizona State Univ, Fac Ecol Evolut &amp; Environm Sci, Sch Life Sci, POB 874501, Tempe, AZ 85287 USA.</t>
  </si>
  <si>
    <t>John.L.Sabo@asu.edu</t>
  </si>
  <si>
    <t>Sponseller, Ryan/ABI-7338-2020; Dixon, Mark/M-7094-2019; Sabo, John L/B-1872-2013; Heffernan, James/D-1261-2010</t>
  </si>
  <si>
    <t>Dixon, Mark/0000-0002-0345-5655; Heffernan, James/0000-0001-7641-9949</t>
  </si>
  <si>
    <t>10.1890/04-0668</t>
  </si>
  <si>
    <t>894KX</t>
  </si>
  <si>
    <t>WOS:000226791700007</t>
  </si>
  <si>
    <t>Ewing, AD; Norman, FI; Ward, SJ; Bunce, A</t>
  </si>
  <si>
    <t>Preliminary investigation of the costs of incubation in theAustralasian Gannet (Morus serrator) breeding in Port Phillip Bay, Victoria</t>
  </si>
  <si>
    <t>EMU-AUSTRAL ORNITHOLOGY</t>
  </si>
  <si>
    <t>REPRODUCTIVE SUCCESS; PARENTAL EFFORT; RESOURCE-ALLOCATION; ANTARCTIC PETREL; MOTU KARAMARAMA; FORAGING EFFORT; BODY CONDITION; ENERGY COSTS; HAURAKI GULF; CHICK GROWTH</t>
  </si>
  <si>
    <t>To optimise lifetime reproductive success, individuals must balance current reproductive effort against future reproductive prospects. In birds, incubation and chick-rearing must involve costs, and manipulation of the length of incubation offers an insight into some costs affecting adults. An experiment was conducted at a colony of Australasian Gannets in Port Phillip Bay, Victoria, in which length of incubation was manipulated so that some adults experienced short (10-20 days duration), long (70-80 days) or normal (similar to 45 days) incubation periods. Adults with a manipulated incubation period did not show significant differences in weight change ( taken here to reflect cost) during incubation or chick-rearing compared with controls. Manipulation of length of incubation did not significantly affect the hatching success or the growth rate of chicks involved and is not, therefore considered to impose an increased reproductive cost. This suggests that the Australasian Gannet has the capacity to maintain body condition and successfully rear young despite modified duration of incubation.</t>
  </si>
  <si>
    <t>Univ Melbourne, Dept Zool, Parkville, Vic 3052, Australia; Dept Sustainabil &amp; Environm, Arthur Rylah Inst Environm Res, Heidelberg, Vic 3084, Australia; Deakin Univ, Sch Econ &amp; Environm, Burwood, Vic 3125, Australia</t>
  </si>
  <si>
    <t>University of Melbourne; Arthur Rylah Institute for Environmental Research (ARI); Deakin University</t>
  </si>
  <si>
    <t>Ewing, AD (corresponding author), Univ Melbourne, Dept Zool, Parkville, Vic 3052, Australia.</t>
  </si>
  <si>
    <t>a.ewing@zoology.unimelb.edu.au</t>
  </si>
  <si>
    <t>TAYLOR &amp; FRANCIS AUSTRALIA</t>
  </si>
  <si>
    <t>MELBOURNE</t>
  </si>
  <si>
    <t>LEVEL 2, 11 QUEENS RD, MELBOURNE, VIC 3004, AUSTRALIA</t>
  </si>
  <si>
    <t>0158-4197</t>
  </si>
  <si>
    <t>1448-5540</t>
  </si>
  <si>
    <t>EMU</t>
  </si>
  <si>
    <t>Emu</t>
  </si>
  <si>
    <t>10.1071/MU03061</t>
  </si>
  <si>
    <t>Ornithology</t>
  </si>
  <si>
    <t>940KO</t>
  </si>
  <si>
    <t>WOS:000230143600005</t>
  </si>
  <si>
    <t>Wang, MS; Lipschutz, ME</t>
  </si>
  <si>
    <t>Thermal metamorphism of primitive meteorites - XII. The enstatite chondrites revisited</t>
  </si>
  <si>
    <t>ENVIRONMENTAL CHEMISTRY</t>
  </si>
  <si>
    <t>astrochemistry; geochemistry (inorganic); palaeogeochemistry</t>
  </si>
  <si>
    <t>TRACE-ELEMENTS; H-CHONDRITES; CARBONACEOUS CHONDRITES; NOBLE-GASES; PARENT BODY; ACCRETION; FALLS; CLASSIFICATION; MOBILIZATION; MINERALOGY</t>
  </si>
  <si>
    <t>We report data for 14 trace and ultratrace elements-Au, Co, Sb, Ga, Rb, Ag, Cs, Te, Zn, Cd, Bi, Tl, In (ordered by increasing putative nebular volatility)-in 13 enstatite (E) chondrites recovered from Antarctica and two E inclusions in the Kaidun polymict breccia that fell in 1980. These data, determined by radiochemical neutron activation analysis (RNAA), essentially double the amount of information known for E chondrites, whose parent materials formed closest to the Sun in the chondrite-forming nebular region. We discuss here the data for all 29 samples studied. The meteoritic suite studied here includes both representatives of previously rare types-like high-iron EH3 and EH5 individuals-but also unique individuals and previously unknown low-iron, EL3, chondrites. Prior hypothetical assertions by others are corrected by the new data. Volatile element contents of EL3 and EH3 chondrites are variable, but comparable, like those of type 3 ordinary chondrites (i.e. H3, L3, and LL3). Volatile element contents of EH4 chondrites are at least as high as those of the E3 types, in contrast to the lower contents of H4, L4, and LL4 types. Compositionally, E3,4 chondrites reflect only nebular condensation and/or accretion processes. Volatiles in E5 and E6 chondrites-whether of EH, EL or unique ones-are depleted relative to cosmic (i.e. CI 1) or E3,4 chondrite abundances. The evidence indicates that E5,6 chondrites compositionally reflect vaporization and loss of volatiles during open-system, thermal metamorphism of their parent(s); this may have been the terrestrial environment during Earth's formation from early planetesimals. Compositional differences between Antarctic E5,6 chondrites and contemporary falls probably do not reflect weathering during the long residence of these chondrites in Antarctica. They might reflect differences in the starting compositions and/or metamorphic conditions in the parent(s).</t>
  </si>
  <si>
    <t>Purdue Univ, Dept Chem, W Lafayette, IN 47907 USA</t>
  </si>
  <si>
    <t>Purdue University System; Purdue University</t>
  </si>
  <si>
    <t>Purdue Univ, Dept Chem, W Lafayette, IN 47907 USA.</t>
  </si>
  <si>
    <t>maapuml@purdue.edu</t>
  </si>
  <si>
    <t>CSIRO PUBLISHING</t>
  </si>
  <si>
    <t>CLAYTON</t>
  </si>
  <si>
    <t>UNIPARK, BLDG 1, LEVEL 1, 195 WELLINGTON RD, LOCKED BAG 10, CLAYTON, VIC 3168, AUSTRALIA</t>
  </si>
  <si>
    <t>1448-2517</t>
  </si>
  <si>
    <t>1449-8979</t>
  </si>
  <si>
    <t>ENVIRON CHEM</t>
  </si>
  <si>
    <t>Environ. Chem.</t>
  </si>
  <si>
    <t>10.1071/EN04075</t>
  </si>
  <si>
    <t>014PG</t>
  </si>
  <si>
    <t>WOS:000235491600011</t>
  </si>
  <si>
    <t>Moosvi, SA; Pacheco, CC; McDonald, IR; De Marco, P; Pearce, DA; Kelly, DP; Wood, AP</t>
  </si>
  <si>
    <t>Isolation and properties of methanesulfonate-degrading Afipia felis from Antarctica and comparison with other strains of A-felis</t>
  </si>
  <si>
    <t>CAT-SCRATCH DISEASE; POLYMERASE-CHAIN-REACTION; SP-NOV; GEN-NOV; METHYLOSULFONOMONAS-METHYLOVORA; NITROBACTER-AGILIS; DIMETHYL-SULFOXIDE; MOLECULAR ANALYSIS; ACID; BACTERIA</t>
  </si>
  <si>
    <t>Three novel strains of methylotrophic Afipia felis were isolated from several locations on Signy Island, Antarctica, and a fourth from estuary sediment from the River Douro, Portugal. They were identified as strains of the alpha-2 proteobacterium A. felis by 16S rRNA gene sequence analysis. Two strains tested were shown to contain the fdxA gene, diagnostic for A. felis. All strains grew with methanesulfonate (and two strains with dimethylsulfone) as sole carbon substrate. Growth on methanesulfonate required methanesulfonate monooxygenase (MSAMO), using NADH as the reductant and stimulated by reduced flavin nucleotides and Fe(II). Polymerase chain reaction amplification of DNA from an Antarctic strain showed a typical msmA gene for the alpha-hydroxylase of MSAMO, and both Antarctic and Portuguese strains contained mxaF, the methanol dehydrogenase large subunit gene. This is the first report of methanesulfonate-degrading bacteria from the Antarctic and of methylotrophy in Afipia, and the first description of any bacterium able to use both methanesulfonate and dimethylsulfone. In contrast, the type strain of A. felis DSM 7326(T) was not methylotrophic, but grew in defined mineral medium with a wide range of single simple organic substrates. Free-living Afipia strains occurring widely in the natural environment may be significant as methylotrophs, degrading C-1-sulfur compounds, including the recalcitrant organosulfur compound methanesulfonate.</t>
  </si>
  <si>
    <t>Kings Coll London, Dept Life Sci, London SE1 9NN, England; Univ Porto, Cellular &amp; Appl Microbiol Grp, P-4150180 Oporto, Portugal; Univ Warwick, Dept Biol Sci, Coventry CV4 7AL, W Midlands, England; British Antarctic Survey, NERC, Cambridge CB3 0ET, England</t>
  </si>
  <si>
    <t>University of London; King's College London; Universidade do Porto; University of Warwick; UK Research &amp; Innovation (UKRI); Natural Environment Research Council (NERC); NERC British Antarctic Survey</t>
  </si>
  <si>
    <t>Kings Coll London, Dept Life Sci, Franklin Wilkins Bldg,150 Stamford St, London SE1 9NN, England.</t>
  </si>
  <si>
    <t>ann.p.wood@kcl.ac.uk</t>
  </si>
  <si>
    <t>De Marco, Paolo/ABI-4126-2020; McDonald, Ian R/A-4851-2008; Pacheco, Catarina C/H-9718-2013</t>
  </si>
  <si>
    <t>De Marco, Paolo/0000-0002-9322-6986; McDonald, Ian R/0000-0002-4847-6492; Pacheco, Catarina C/0000-0002-0741-1529; Pearce, David/0000-0001-5292-4596</t>
  </si>
  <si>
    <t>10.1111/j.1462-2920.2004.00661.x</t>
  </si>
  <si>
    <t>882RK</t>
  </si>
  <si>
    <t>WOS:000225955800003</t>
  </si>
  <si>
    <t>Scheifler, R; Gauthier-Clerc, M; Le Bohec, C; Crini, N; Coeurdassier, M; Badot, PM; Giraudoux, P; Le Maho, Y</t>
  </si>
  <si>
    <t>Mercury concentrations in king penguin (Aptenodytes patagonicus) feathers at Crozet Islands (sub-Antarctic):: Temporal trend between 1966-1974 and 2000-2001</t>
  </si>
  <si>
    <t>biomonitoring; bird; temporal trends; mercury concentrations; feathers</t>
  </si>
  <si>
    <t>HEAVY-METALS; DIET; NORTH; CHICKS; BIRDS; SEX</t>
  </si>
  <si>
    <t>Remote sub-Antarctic islands and their wildlife may be contaminated by mercury via atmospheric and oceanic currents. Because of mercury's high toxicity and its capacity to be biomagnified in marine food chains, top predators like seabirds may be threatened by secondary poisoning. The present study provides data regarding mercury concentrations in breast feathers sampled in 2000 and 2001 on king penguins (Aptenodytes patagonicus) living at Crozet Islands. These contemporary concentrations were compared to those measured in feathers of king penguins sampled in the same colony between 1966 and 1974 and preserved ill a museum (1970s sample). The average concentration of the contemporary sample is 1.98 mug g(-1) (dry mass) and is significantly different than the concentrations reported in some other penguin species. The concentration of the contemporary sample is significantly lower than the concentration of the 1970s sample (2.66 mug g(-1)). This suggests that mercury concentrations in southern hemisphere seabirds do not increase, which conflicts with the trends observed in the northern hemisphere. This difference in temporal trends between the northern and southern hemispheres usually is attributed mainly to a higher degree of pollutant emission in the northern hemisphere. Parameters that may explain the interspecies differences in mercury concentrations are discussed. These first results may constitute a basis for further ecotoxicological and/or biomonitoring studies of king penguins in these remote ecosystems.</t>
  </si>
  <si>
    <t>Univ Franche Comte, Lab Biol Environm, F-25030 Besancon, France; CNRS, UPR 9010, Ctr Ecol &amp; Physiol Energet, F-67087 Strasbourg 2, France; Stn Biol Tour Valat, F-13200 Arles, France</t>
  </si>
  <si>
    <t>Universite de Franche-Comte; Universites de Strasbourg Etablissements Associes; Universite de Strasbourg; Centre National de la Recherche Scientifique (CNRS)</t>
  </si>
  <si>
    <t>Univ Franche Comte, Lab Biol Environm, EA 3184 MR USC INRA,Pl Leclerc, F-25030 Besancon, France.</t>
  </si>
  <si>
    <t>renaud.scheifler@univ-fcomte.fr</t>
  </si>
  <si>
    <t>LE BOHEC, CELINE/AAD-3589-2022; Giraudoux, Patrick/B-9274-2011; Badot, Pierre-Marie/Q-1545-2016; Scheifler, Renaud/H-2971-2014</t>
  </si>
  <si>
    <t>Giraudoux, Patrick/0000-0003-2376-0136; LE BOHEC, Celine/0000-0003-0149-6477; Scheifler, Renaud/0000-0002-9620-0204; badot, pierre-marie/0000-0002-6504-1845</t>
  </si>
  <si>
    <t>10.1897/03-446.1</t>
  </si>
  <si>
    <t>880XW</t>
  </si>
  <si>
    <t>WOS:000225824600016</t>
  </si>
  <si>
    <t>Rawlinson, KA; Davenport, J; Barnes, DKA</t>
  </si>
  <si>
    <t>Tidal exchange of zooplankton between Lough Hyne and the adjacent coast</t>
  </si>
  <si>
    <t>zooplankton; tidal exchange; seasonal variation; fjord; Lough Hyne</t>
  </si>
  <si>
    <t>SHORELINE CONFIGURATION; ABUNDANCE; DYNAMICS; PLANKTON; LARVAE; RECRUITMENT; COMMUNITY; DIVERSITY</t>
  </si>
  <si>
    <t>Plankton samples collected in November 2002, February, May and August 2003 were used to examine seasonal variation in tidal exchange of zooplankton biomass, abundance and species composition between Lough Hyne Marine Nature Reserve and the adjacent Atlantic coast. Micro- to mesozooplankton were collected by pump over 24-h sampling periods during spring and neap tides from the narrow channel connecting the semi-enclosed water body to the Atlantic. Sample biomass (dry, weight) and total zooplankton abundance peaked in the summer and were lowest in winter. showing a positive. relationship with temperature. Zooplankton biomass, total abundance and numbers of holo- and meroplankton revealed import during sonic diel cycles and export in others. However, the tidal import of these planktonic components was generally dominant: especially during May. The greatest import of numbers of holoplankters and meroplanktonic larvae occurred during May and August, respectively. There was no significant variation in sample biomass between periods of light and dark. but some variation in zooplankton abundance could be explained by this diel periodicity. Significant differences in sample assemblage composition between flood and ebb tide samples were always observed.. except during winter neap tides. There was a net import of the copepods Temora longicornis and Ouhona helgolandica and the larval stages of Mytilus edulis during spring and summer. Proceraea cornuta and Capitellid trochophores were imported during winter, and a hydrozoan of the genus Obelia during the spring spring tides. Seasonal export from the lough was shown by Pseudopolydora pulchra larvae (autumn and spring), Serpulid trochophores (autumn) and veligers of the bivalve Anomia ephippium (summer). It is suggested that the direction of tidal exchange of meroplankionic taxa is related to the distribution of the adult populations. Copepod naupliar stages dominated the assemblages except during May spring tides when the copepod Pseudocalanus elongatus made Lip over 22% of the abundance. The general import of micro- to mesozooplankton may, in pan, explain the higher densities of this size-class of zooplankton within the semi-enclosed system of Lough Hyne. (C) 2004 Elsevier Ltd. All riahts reserved.</t>
  </si>
  <si>
    <t>Natl Univ Ireland Univ Coll Cork, Dept Zool Ecol &amp; Plant Sci, Cork, Ireland; Natl Univ Ireland Univ Coll Cork, Environm Res Inst, Cork, Ireland; British Antarctic Survey, NERC, Cambridge CB3 0ET, England</t>
  </si>
  <si>
    <t>University College Cork; University College Cork; UK Research &amp; Innovation (UKRI); Natural Environment Research Council (NERC); NERC British Antarctic Survey</t>
  </si>
  <si>
    <t>Malt House, Cambridge PE19 5EH, England.</t>
  </si>
  <si>
    <t>k.rawlinson@mars.ucc.ie</t>
  </si>
  <si>
    <t>Rawlinson, Kate/0000-0001-8297-8405</t>
  </si>
  <si>
    <t>1096-0015</t>
  </si>
  <si>
    <t>10.1016/j.ecss.2004.08.018</t>
  </si>
  <si>
    <t>888UO</t>
  </si>
  <si>
    <t>WOS:000226399900017</t>
  </si>
  <si>
    <t>Stutz; Ravishankara; Pyle; Tuck; Evans; Herrmann; Chipperfield; Zellner; Roscoe, H; Shallcross; Cox; Bloss; Monks; Stevenson; Arnold; Heard; Remedios; Wayne; Cohen; Brauers; Orr-Ewing; Blitz; Wang; Duxbury; Dibble; Taatjes; Eisfeld; Seakins; Kovács; Dóbé; Farkas; Ingham; Rowley; Kolb; Stephenson; Donahue; Hynes; Smith, IWM; Self; Donaldson</t>
  </si>
  <si>
    <t>Kinetic and mechanistic studies of the recombination of OH with NO2:: Vibrational deactivation, isotopic scrambling and product isomer branching ratios -: General discussion</t>
  </si>
  <si>
    <t>FARADAY DISCUSSIONS</t>
  </si>
  <si>
    <t>GAMMA-ALUMINA SURFACES; SELF-REACTION; OZONE LOSS; PRESSURE-DEPENDENCE; CHLORINE PEROXIDE; CLO DIMER; TEMPERATURE; O-2; RADICALS; N-2</t>
  </si>
  <si>
    <t>NOAA, Aeron Lab, Boulder, CO 80303 USA; Univ Cambridge, Cambridge CB2 1TN, England; Univ Leeds, Leeds LS2 9JT, W Yorkshire, England; Leibniz Inst Tropospharenforsch, Leipzig, Germany; Univ Duisburg Essen, Essen, Germany; British Antarctic Survey, Cambridge CB3 0ET, England; Univ Bristol, Bristol BS8 1TH, Avon, England; Univ Leicester, Leicester LE1 7RH, Leics, England; Univ Edinburgh, Edinburgh EH8 9YL, Midlothian, Scotland; Univ Oxford, Oxford OX1 2JD, England; Forschungszentrum Julich, Julich, Germany; Univ Strathclyde, Glasgow G1 1XQ, Lanark, Scotland; SUNY Coll Environm Sci &amp; Forestry, Syracuse, NY 13210 USA; Sandia Natl Labs, Livermore, CA 94550 USA; Univ Munich, D-80539 Munich, Germany; Chem Res Ctr, Budapest, Hungary; UCL, London WC1E 6BT, England; Aerodyne Res Inc, Billerica, MA 01821 USA; Swarthmore Coll, Swarthmore, PA 19081 USA; Univ Miami, Coral Gables, FL 33124 USA; Carnegie Mellon Univ, Pittsburgh, PA 15213 USA; Univ Birmingham, Birmingham B15 2TT, W Midlands, England; Univ Toronto, Toronto, ON, Canada</t>
  </si>
  <si>
    <t>National Oceanic Atmospheric Admin (NOAA) - USA; University of Cambridge; University of Leeds; Leibniz Institut fur Tropospharenforschung (TROPOS); University of Duisburg Essen; UK Research &amp; Innovation (UKRI); Natural Environment Research Council (NERC); NERC British Antarctic Survey; University of Bristol; University of Leicester; University of Edinburgh; University of Oxford; Helmholtz Association; Research Center Julich; University of Strathclyde; State University of New York (SUNY) System; State University of New York (SUNY) College of Environmental Science &amp; Forestry; United States Department of Energy (DOE); Sandia National Laboratories; University of Munich; Hungarian Academy of Sciences; University of London; University College London; Aerodyne Research; Swarthmore College; University of Miami; Carnegie Mellon University; University of Birmingham; University of Toronto</t>
  </si>
  <si>
    <t>1359-6640</t>
  </si>
  <si>
    <t>1364-5498</t>
  </si>
  <si>
    <t>FARADAY DISCUSS</t>
  </si>
  <si>
    <t>Faraday Discuss.</t>
  </si>
  <si>
    <t>10.1039/b507787g</t>
  </si>
  <si>
    <t>963KV</t>
  </si>
  <si>
    <t>WOS:000231804100008</t>
  </si>
  <si>
    <t>Nishimiya, Y; Sato, R; Takamichi, M; Miura, A; Tsuda, S</t>
  </si>
  <si>
    <t>Co-operative effect of the isoforms of type III antifreeze protein expressed in Notched-fin eelpout, Zoarces elongatus Kner</t>
  </si>
  <si>
    <t>co-operative effect; Notched-fin eelpout; type III antifreeze protein</t>
  </si>
  <si>
    <t>ICE-BINDING SURFACE; ANTARCTIC EEL POUT; MACROZOARCES-AMERICANUS; OCEAN POUT; STRUCTURAL BASIS; PEPTIDES; FISH; IDENTIFICATION; GLYCOPROTEINS; POLYPEPTIDE</t>
  </si>
  <si>
    <t>We found that Notched-fin eelpout, which lives off the north east coast of Japan, expresses an antifreeze protein (AFP). The liver of this fish contains DNAs that encode at least 13 type III AFP isoforms (denoted nfeAFPs). The primary sequences of the nfeAFP isoforms were categorized into SP- and QAE-sephadex binding groups, and the latter were further divided into two subgroups, QAE1 and QAE2 groups. Ice crystals observed in HPLC-pure nfeAFP fractions are bipyramidal in shape with different ratios of c and a axes, suggesting that all the isoforms are able to bind ice. We expressed five recombinant isoforms of nfeAFP and analyzed the thermal hysteresis (TH) activity of each as a function of protein concentration. We also examined the change in activity on mixing the isoforms. TH was estimated to be 0.60degreesC for the QAE1 isoform, 0.11degreesC for QAE2, and almost zero for the SP isoforms when the concentrations of these isoforms was standardized to 1.0 mM. Significantly, the TH activity of the SP isoforms showed concentration dependence in the presence of 0.2 mM QAE1, indicating that the less active SP isoform becomes 'active' when a small amount of QAE1 is added. In contrast, it does not become active on the addition of another SP isoform. These results suggest that the SP and QAE isoforms of type III AFP have different levels of TH activity, and they accomplish the antifreeze function in a co-operative manner.</t>
  </si>
  <si>
    <t>Natl Inst Adv Ind Sci &amp; Technol AIST, Funct Prot Res Grp, RIGB, Sapporo, Hokkaido 0628517, Japan; Hokkaido Univ, Div Biol Sci, Grad Sch Sci, Sapporo, Hokkaido, Japan</t>
  </si>
  <si>
    <t>National Institute of Advanced Industrial Science &amp; Technology (AIST); Hokkaido University</t>
  </si>
  <si>
    <t>Natl Inst Adv Ind Sci &amp; Technol AIST, Funct Prot Res Grp, RIGB, 2-17-2-1 Tsukisamuhigashi, Sapporo, Hokkaido 0628517, Japan.</t>
  </si>
  <si>
    <t>sakae.tsuda@aist.go.jp</t>
  </si>
  <si>
    <t>Tsuda, Sakae/M-2756-2018; Nishimiya, Yoshiyuki/M-4173-2018</t>
  </si>
  <si>
    <t>Tsuda, Sakae/0000-0002-1399-0619; Nishimiya, Yoshiyuki/0000-0002-0701-7775</t>
  </si>
  <si>
    <t>10.1111/j.1742-4658.2004.04490.x</t>
  </si>
  <si>
    <t>902LS</t>
  </si>
  <si>
    <t>WOS:000227359200017</t>
  </si>
  <si>
    <t>Abell, GCJ; Bowman, JP</t>
  </si>
  <si>
    <t>Ecological and biogeographic relationships of class Flavobacteria in the Southern Ocean</t>
  </si>
  <si>
    <t>seawater; Southern Ocean; DGGE; flavobacteria; cytophaga-flavobacterium-bacteroides group; biogeography; psychrophilic bacteria</t>
  </si>
  <si>
    <t>PSYCHROPHILIC BACTERIA; COMMUNITY STRUCTURE; GEN. NOV.; DIVERSITY; ASSEMBLAGES; GRADIENT; CLUSTER; RICHNESS; TURNOVER; MEMBERS</t>
  </si>
  <si>
    <t>The abundance, spatial distribution and diversity of class Flavobacteria were investigated in the Southern Ocean euphotic zone across a latitudinal transect and in the ice pack off Eastern Antarctica. Surface seawater samples filter-fractionated into 0.8 mum particulate and 0.2 m planktonic fractions were investigated with different molecular techniques. The abundance of particle-associated Flavobacteria, ascertained with real-time PCR and DGGE band analysis using Flavobacteria-specific primers, was found to be significantly higher in Polar Front Zone (PFZ) and Antarctic Zone (AZ) water samples than in nutrient limited Temperate Zone (TZ) and Sub-Antarctic Zone (SAZ) waters. Abundance of particle-associated Flavobacteria correlated positively with seawater chlorophyll a and nutrient concentrations, suggesting that increased Flavobacteria abundance may relate to enhanced primary production in the PFZ and AZ. This is supported by comparison of DGGE profiles that demonstrated significant differences in the total Flavobacteria community structure and 16S rRNA gene diversity between samples from the PFZ and AZ and those from TZ and SAZ. Sequence analysis revealed a broad diversity amongst class Flavobacteria in the Southern Ocean with several Flavobacteria clades detected in PFZ and AZ waters not detected in TZ and SAZ waters that putatively represent psychrophilic taxa. Sequence data included a large, so far uncultivated, cosmopolitan phylogenetic clade (DE cluster 2) that is distributed throughout the Southern Ocean. (C) 2004 Federation of European Microbiological Societies. Published by Elsevier B.V. All rights reserved.</t>
  </si>
  <si>
    <t>Univ Tasmania, Dept Agr Sci, Hobart, Tas 7001, Australia</t>
  </si>
  <si>
    <t>Univ Tasmania, Dept Agr Sci, Private Bag 54, Hobart, Tas 7001, Australia.</t>
  </si>
  <si>
    <t>john.bowman@utas.edu.au</t>
  </si>
  <si>
    <t>Bowman, John P/C-2414-2014; Abell, Guy C J/A-1767-2010; Bowman, John P./ABF-5108-2020</t>
  </si>
  <si>
    <t>Bowman, John P/0000-0002-4528-9333; Bowman, John P./0000-0002-4528-9333</t>
  </si>
  <si>
    <t>JAN 1</t>
  </si>
  <si>
    <t>10.1016/j.femsec.2004.09.001</t>
  </si>
  <si>
    <t>888WE</t>
  </si>
  <si>
    <t>WOS:000226404100012</t>
  </si>
  <si>
    <t>Troshichev, O</t>
  </si>
  <si>
    <t>Hoshino, M; Lanzerotti, LJ</t>
  </si>
  <si>
    <t>Relationship between plasma and magnetic field parameters in the distant plasma sheet</t>
  </si>
  <si>
    <t>Frontiers in Magnetospheric Plasma Physics: Celebrating 10 Years of Geotail Operation</t>
  </si>
  <si>
    <t>16th COSPAR Colloquium on Frontiers of Magnetospheric Plasma Physics</t>
  </si>
  <si>
    <t>JUL 24-26, 2002</t>
  </si>
  <si>
    <t>Inst Space &amp; Astronaut Sci, Kanagawa, JAPAN</t>
  </si>
  <si>
    <t>Inst Space &amp; Astronaut Sci</t>
  </si>
  <si>
    <t>GEOMAGNETICALLY QUIET; MAGNETOTAIL; GEOTAIL; CONVECTION; TIMES; TAIL; TURBULENCE; ISEE-3; FLOW; R(E)</t>
  </si>
  <si>
    <t>Measurements of the magnetic field and low-energy plasma by Geotail have been used to study mean and instantaneous characteristics of plasma and magnetic field in the distant tail X = -(79-200) RE under extremely quiet and weakly disturbed conditions. The analysis has been carried out separately for the tail lobes and the plasma sheet. A good consistency between variations of the plasma and magnetic parameters is observed only in the tail lobes, the correspondence being considered for appropriate components (Vx and Bx, Vy and By, Vz and Bz). The distant plasma sheet seems to be constantly in regime of turbulence, i.e. such a regime when the magnetic field and plasma parameters are steadily subjected to fluctuations of different periods, the variations in magnetic field and plasma velocity being inconsistent in time. The mean values of V and B in the plasma sheet are not compatible with their instantaneous characteristics at all. The coefficient of diffusion across the plasma sheet, estimated from experimental data, is in harmony with predictions of theory for the plasma sheet with turbulence. The applicability of the frozen-in approximation to description of processes in the plasma sheet is discussed.</t>
  </si>
  <si>
    <t>Troshichev, O (corresponding author), Arctic &amp; Antarctic Res Inst, St Petersburg 199226, Russia.</t>
  </si>
  <si>
    <t>0-08-044573-X</t>
  </si>
  <si>
    <t>Geochemistry &amp; Geophysics; Physics, Fluids &amp; Plasmas</t>
  </si>
  <si>
    <t>Geochemistry &amp; Geophysics; Physics</t>
  </si>
  <si>
    <t>BCC91</t>
  </si>
  <si>
    <t>WOS:000228665400009</t>
  </si>
  <si>
    <t>Ray, LR; Price, AD; Streeter, A; Denton, D; Lever, JH</t>
  </si>
  <si>
    <t>NAE</t>
  </si>
  <si>
    <t>Cool robots: Scalable mobile robots for instrument network deployment in polar climates</t>
  </si>
  <si>
    <t>Frontiers of Engineering</t>
  </si>
  <si>
    <t>10th Annual Symposium on Frontiers of Engineering</t>
  </si>
  <si>
    <t>SEP 09-11, 2004</t>
  </si>
  <si>
    <t>Natl Acad, Beckman Ctr, Irvine, CA</t>
  </si>
  <si>
    <t>Natl Acad, Beckman Ctr</t>
  </si>
  <si>
    <t>ANTARCTIC SNOW; SURFACE</t>
  </si>
  <si>
    <t>Ray, LR (corresponding author), Dartmouth Coll, Thayer Sch Engn, Hanover, NH 03755 USA.</t>
  </si>
  <si>
    <t>NATL ACADEMIES PRESS</t>
  </si>
  <si>
    <t>2101 CONSTITUTION AVE, WASHINGTON, DC 20418 USA</t>
  </si>
  <si>
    <t>0-309-09547-6</t>
  </si>
  <si>
    <t>Engineering, Multidisciplinary</t>
  </si>
  <si>
    <t>BCX98</t>
  </si>
  <si>
    <t>WOS:000231823200001</t>
  </si>
  <si>
    <t>Zhou, CX; Ge, LL; E, DC; Chang, HC</t>
  </si>
  <si>
    <t>Zhou Chunxia; Ge Linlin; E Dongchen; Chang Hsingchung</t>
  </si>
  <si>
    <t>A Case Study of Using External DEM in InSAR DEM Generation</t>
  </si>
  <si>
    <t>GEO-SPATIAL INFORMATION SCIENCE</t>
  </si>
  <si>
    <t>InSAR; digital elevation model (DEM); external DEM</t>
  </si>
  <si>
    <t>Synthetic aperture radar interferometry (InSAR) has been used as an innovative technique for digital elevation model (DEM) and topographic map generation. In this paper, external DEMs are used for InSAR DEM generation to reduce the errors in data processing. The DEMs generated from repeat-pass InSAR are compared. For steep slopes and severe changes in topography, phase unwrapping quality can be improved by subtracting the phase calculated from an external DEM. It is affirmative that the absolute height accuracy of the InSAR DEM is improved by using external DEM. The data processing was undertaken without the use of ground control points and other manual operation.</t>
  </si>
  <si>
    <t>[Zhou Chunxia] Wuhan Univ, Chinese Antarctic Ctr Surveying &amp; Mapping, 129 Luoyu Rd, Wuhan 430079, Peoples R China; [Zhou Chunxia] Univ New South Wales, Sch Surveying &amp; Spatial Informat Syst, Res Assoc, Sydney, NSW 2052, Australia</t>
  </si>
  <si>
    <t>Wuhan University; University of New South Wales Sydney</t>
  </si>
  <si>
    <t>Zhou, CX (corresponding author), Wuhan Univ, Chinese Antarctic Ctr Surveying &amp; Mapping, 129 Luoyu Rd, Wuhan 430079, Peoples R China.</t>
  </si>
  <si>
    <t>zhoucx@whu.edu.cn</t>
  </si>
  <si>
    <t>Chang, Hsing-Chung/0000-0003-3523-9938</t>
  </si>
  <si>
    <t>Key Tenth-five Project of State Bureau of Surveying and Mapping [1469990324236-04-06]; Faculty Research Grant of University of New South Wales [PS03283]</t>
  </si>
  <si>
    <t>Key Tenth-five Project of State Bureau of Surveying and Mapping; Faculty Research Grant of University of New South Wales</t>
  </si>
  <si>
    <t>Funded by the Key Tenth-five Project of State Bureau of Surveying and Mapping (No. 1469990324236-04-06) and the Faculty Research Grant of University of New South Wales (No. PS03283).</t>
  </si>
  <si>
    <t>1009-5020</t>
  </si>
  <si>
    <t>1993-5153</t>
  </si>
  <si>
    <t>GEO-SPAT INF SCI</t>
  </si>
  <si>
    <t>Geo-Spat. Inf. Sci.</t>
  </si>
  <si>
    <t>10.1007/BF02826985</t>
  </si>
  <si>
    <t>Remote Sensing</t>
  </si>
  <si>
    <t>VA3KN</t>
  </si>
  <si>
    <t>WOS:000409806100003</t>
  </si>
  <si>
    <t>Zhang, X; E, DC</t>
  </si>
  <si>
    <t>Zhang Xiaohong; E Dongchen</t>
  </si>
  <si>
    <t>Velocity of Surface Ice Flow on Amery Ice Shelf Determined with PPP</t>
  </si>
  <si>
    <t>GPS; precise point positioning; Amery ice shelf; surface snow velocity</t>
  </si>
  <si>
    <t>The main activities in the joint expedition between CHINARE and ANARE on Amery ice shelf are introduced. Five- day continuous GPS observation data collected on the site which locates at the frontal part of Amery ice shelf was processed with precise point positioning (PPP) technology based on precise products from IGS. Velocity of the surface ice flow on Amery can be derived from the PPP solution. Preliminary result shows that the surface ice flow velocity of the site is 2.25 meters per day, the motion direction is northeastward. Semidiurnal oceanic tide and diurnal oceanic tide signal of that site can be recovered from the height variation series of PPP solution. These above solutions can be used to the consequent mass balance calculation.</t>
  </si>
  <si>
    <t>[Zhang Xiaohong] Wuhan Univ, Sch Geodesy &amp; Geomat, 129 Luoyu Road, Wuhan 430079, Hubei, Peoples R China</t>
  </si>
  <si>
    <t>Wuhan University</t>
  </si>
  <si>
    <t>Zhang, X (corresponding author), Wuhan Univ, Sch Geodesy &amp; Geomat, 129 Luoyu Road, Wuhan 430079, Hubei, Peoples R China.</t>
  </si>
  <si>
    <t>xhzhang@sgg.whu.edu.cn</t>
  </si>
  <si>
    <t>Infrastructral Surveying and Mapping in Chinese Antarctic Expedition Region [1469990324229]</t>
  </si>
  <si>
    <t>Infrastructral Surveying and Mapping in Chinese Antarctic Expedition Region</t>
  </si>
  <si>
    <t>Funded by Infrastructral Surveying and Mapping in Chinese Antarctic Expedition Region(1469990324229).</t>
  </si>
  <si>
    <t>10.1007/BF02838658</t>
  </si>
  <si>
    <t>VA3LO</t>
  </si>
  <si>
    <t>WOS:000409808800004</t>
  </si>
  <si>
    <t>Liu, XD; Sun, LG; Yin, XB; Zhu, RB; Xie, ZQ; Wang, YH</t>
  </si>
  <si>
    <t>A preliminary study of elemental geochemistry and its potential application in Antarctic Seal palaeoecology</t>
  </si>
  <si>
    <t>GEOCHEMICAL JOURNAL</t>
  </si>
  <si>
    <t>elemental geochemistry; sediments influenced by seal excrement; palaeoecology; Antarctica</t>
  </si>
  <si>
    <t>KING-GEORGE-ISLAND; JAMES-ROSS-ISLAND; ORGANIC-MATTER; LAKE-SEDIMENTS; LATE-HOLOCENE; GLACIAL HISTORY; TRACE-ELEMENTS; CLIMATE-CHANGE; POPULATIONS; MARINE</t>
  </si>
  <si>
    <t>The elemental geochemical composition of sediments influenced by seal excrements in the Antarctic Fildes Peninsula has been examined in order to establish the source of organic matter, identify potential bio-elements and explore their potential palaeoecological implications. The combination of total organic carbon concentration (TOC), total nitrogen concentration (TN), organic carbon isotope (delta C-13) and atomic C/N ratio shows that the organic matter in the sediments with many seal hairs has a marine origin, predominantly derived from seal excrements. Among the determined element/oxide concentrations, S, Se, F, Zn, Hg, FeO and P2O5 were found to be remarkably enriched in the sediments influenced by seal excrements with respect to the sediments with few or without seal hairs, and their concentrations displayed strong and positive correlations with organic matter abundance, indicating that they had the same source and transportation mechanism as the in situ organic material. A comparison of these element/oxide concentrations with the seal hair numbers showed that they had similar distribution patterns with depth, and the correlations were positive and statistically significant. Based upon these results, S, Se, F, Zn, Hg, FeO and P2O5 in the seal excrement sediments were identified as potential bio-elements and their concentrations could potentially be used as inorganic geochemical indicators for tracking seal palaeoecological processes in the Antarctic region.</t>
  </si>
  <si>
    <t>slg@uste.edu.cn</t>
  </si>
  <si>
    <t>GEOCHEMICAL SOC JAPAN</t>
  </si>
  <si>
    <t>358-5 YAMABUKI-CHO, SHINJUKU-KU, TOKYO, 162-0801, JAPAN</t>
  </si>
  <si>
    <t>0016-7002</t>
  </si>
  <si>
    <t>1880-5973</t>
  </si>
  <si>
    <t>GEOCHEM J</t>
  </si>
  <si>
    <t>Geochem. J.</t>
  </si>
  <si>
    <t>10.2343/geochemj.39.47</t>
  </si>
  <si>
    <t>934BM</t>
  </si>
  <si>
    <t>WOS:000229681900004</t>
  </si>
  <si>
    <t>Lemasurier, WE; Rocchi, S</t>
  </si>
  <si>
    <t>Terrestrial record of post-Eocene climate history in Marie Byrd Land, West Antarctica</t>
  </si>
  <si>
    <t>GEOGRAFISKA ANNALER SERIES A-PHYSICAL GEOGRAPHY</t>
  </si>
  <si>
    <t>ICE-SHEET; EROSION SURFACES; EVOLUTION; GEOCHRONOLOGY</t>
  </si>
  <si>
    <t>Hydrovolcanic deposits, interbedded tills and recycled microfossils, together with erosion anomalies in the Marie Byrd Land (MBL) landscape, each provide a portion of the record of glaciation and deglaciation events from late Oligocene to the present. We have attempted to synthesize these data sources to provide a more complete record, and to reconcile them with climatic events recorded elsewhere in Antarctica and the deep sea. The MBL data suggest that the late Oligocene was marked by the development of an ice cap at Mount Petras, where the MBL dome was beginning to rise from a near-sea-level position. Furthermore, unusually advanced cirque development in the dome crest area is difficult to explain unless there was a period of effective cirque erosion in that area between c. 25 and 15 Ma Bp. These inferences are consistent with evidence from the Ross Sea for an expansion of the West Antarctic Ice Sheet (WAIS) in mid-Miocene (15-17 Ma BP) time. The deep sea oxygen isotope proxy record has been interpreted to show the inception of West Antarctic glaciation around 6 Ma BP. This can perhaps be reconciled with the terrestrial record if one considers (1) the observation that large volume changes in the WAIS cannot produce a delta O-18 signal that is significantly outside limits of error, and (2) that the landscape in West Antarctica has evolved from very low regional relief in the Oligocene, to more than 2 km of local relief in the present day, as a result of dome uplift since c. 27 Ma Bp, and the growth of large volcanoes since c. 19 Ma BP.</t>
  </si>
  <si>
    <t>Univ Colorado, Inst Arctic &amp; Alpine Res, Boulder, CO 80309 USA; Univ Pisa, Dipartimento Sci Terra, I-56126 Pisa, Italy</t>
  </si>
  <si>
    <t>University of Colorado System; University of Colorado Boulder; University of Pisa</t>
  </si>
  <si>
    <t>Univ Colorado, Inst Arctic &amp; Alpine Res, 450 UCB, Boulder, CO 80309 USA.</t>
  </si>
  <si>
    <t>Rocchi, Sergio/A-7752-2018</t>
  </si>
  <si>
    <t>Rocchi, Sergio/0000-0001-6868-1939</t>
  </si>
  <si>
    <t>0435-3676</t>
  </si>
  <si>
    <t>1468-0459</t>
  </si>
  <si>
    <t>GEOGR ANN A</t>
  </si>
  <si>
    <t>Geogr. Ann. Ser. A-Phys. Geogr.</t>
  </si>
  <si>
    <t>87A</t>
  </si>
  <si>
    <t>10.1111/j.0435-3676.2005.00244.x</t>
  </si>
  <si>
    <t>Geography, Physical; Geology</t>
  </si>
  <si>
    <t>938KQ</t>
  </si>
  <si>
    <t>WOS:000230002700005</t>
  </si>
  <si>
    <t>Denton, GH; Sugden, DE</t>
  </si>
  <si>
    <t>Meltwater features that suggest Miocene ice-sheet overriding of the Transantarctic Mountains in Victoria Land, Antarctica</t>
  </si>
  <si>
    <t>Antarctica; Victoria Land; geomorphology; meltwater landforms; scablands; subglacial floods; ice-sheet overriding</t>
  </si>
  <si>
    <t>DRY-VALLEYS; LANDSCAPE EVOLUTION; EXPOSURE AGES; WRIGHT VALLEY; HISTORY; RANGE; AREA</t>
  </si>
  <si>
    <t>We illustrate here spectacular meltwater features associated with outburst floods beneath an ice sheet that overrode the Transantarctic Mountains in southern Victoria Land. Because of long-term hyperarid polar climate, these features are part of an ancient landscape preserved for about 14 million years. Some channels are associated with areal scouring of basement rocks extending from sea level to as much as 1200-2100 m elevation in coastal regions. Scablands with scallops, potholes and plunge pools are cut in Beacon Super-group sandstones and Ferrar Dolerite and cover wide areas of high western plateaus near the mountain crest. Subglacial channel systems commonly originate near divides and converge downhill toward the northeast. We argue that the landforms were created beneath a major Antarctic Ice Sheet that submerged the whole area, with the possible exception of the high peaks of the Royal Society Range, as it flowed northeastward toward the outer Antarctic continental shelf. Areal scouring, associated with warm-based regimes, is restricted to the lower slopes close to the coast. In the higher terrain, meltwater channels and scabland alongside preserved patches of regolith are best explained by the breaching of cold-based ice on the mountain rim by subglacial meltwater outbursts. Melt from warm-based ice, along with subglacial lakes trapped upstream of the mountain rim, are possible sources of the meltwater necessary to form the channel systems and scablands.</t>
  </si>
  <si>
    <t>Univ Maine, Dept Earth Sci, Orono, ME 04469 USA; Univ Maine, Climat Change Inst, Bryand Global Sci Ctr, Orono, ME 04469 USA; Univ Edinburgh, Sch Geosci, Inst Geog, Edinburgh EH8 9XP, Midlothian, Scotland</t>
  </si>
  <si>
    <t>University of Maine System; University of Maine Orono; University of Maine System; University of Maine Orono; University of Edinburgh</t>
  </si>
  <si>
    <t>Univ Maine, Dept Earth Sci, Orono, ME 04469 USA.</t>
  </si>
  <si>
    <t>10.1111/j.0435-3676.2005.00245.x</t>
  </si>
  <si>
    <t>WOS:000230002700006</t>
  </si>
  <si>
    <t>Sugden, DE; Bentley, MJ; Fogwill, CJ; Hulton, NRJ; McCulloch, RD; Purves, RS</t>
  </si>
  <si>
    <t>Late-glacial glacier events in southernmost South America: A blend of 'northern'and 'southern' hemispheric climatic signals?</t>
  </si>
  <si>
    <t>Patagonia; glacier fluctuations; Last Glacial Maximum; Antarctic Cold Reversal; late glacial; bipolar seesaw; Antarctic circumpolar wave</t>
  </si>
  <si>
    <t>ANTARCTIC COLD REVERSAL; CENTRAL MAGELLAN-STRAIT; PATAGONIAN ICEFIELD; LATE PLEISTOCENE; LAKE DISTRICT; BAHIA INUTIL; ICE-SHEET; THERMOHALINE CIRCULATION; DEGLACIAL PALEOCLIMATE; HOLOCENE CLIMATE</t>
  </si>
  <si>
    <t>This paper examines new geomorphological, chronological and modelling data on glacier fluctuations in southernmost South America in latitudes 46-55 degrees S during the last glacial-interglacial transition. Establishing leads and lags between the northern and southern hemispheres and between southern mid-latitudes and Antarctica is key to an appreciation of the mechanisms and resilience of global climate. This is particularly important in the southern hemisphere where there is a paucity of empirical data. The overall structure of the last glacial cycle in Patagonia has a northern hemisphere signal. Glaciers reached or approached their Last Glacial Maxima on two or more occasions at 25-23 ka (calendar) and there was a third less extensive advance at 17.5 ka. Deglaciation occurred in two steps at 17.5 ka and at 11.4 ka. This structure is the same as that recognized in the northern hemisphere and taking place in spite of glacier advances occurring at a time of high southern hemisphere summer insolation and deglaciation at a time of decreasing summer insolation. The implication is that at orbital time scales the 'northern' signal dominates any southern hemisphere signal. During deglaciation, at a millennial scale, the glacier fluctuations mirror an antiphase 'southern' climatic signal as revealed in Antarctic ice cores. There is a glacier advance coincident with the Antarctic Cold Reversal at 15.3-12.2 ka. Furthermore, deglaciation begins in the middle of the Younger Dryas. The implication is that, during the last glacial-interglacial transition, southernmost South America was under the influence of sea surface temperatures, sea ice and southern westerlies responding to conditions in the 'southern' Antarctic domain. Such asynchrony may reflect a situation whereby, during deglaciation, the world is more sensitized to fluctuations in the oceanic thermohaline circulation, perhaps related to the bipolar seesaw, than at orbital timescales.</t>
  </si>
  <si>
    <t>Univ Edinburgh, Sch Geosci, Inst Geog, Edinburgh EH8 9XP, Midlothian, Scotland; Univ Durham, Dept Geog, Durham DH1 3LE, England; Univ Zurich, Dept Geog, CH-8057 Zurich, Switzerland</t>
  </si>
  <si>
    <t>University of Edinburgh; Durham University; University of Zurich</t>
  </si>
  <si>
    <t>Univ Edinburgh, Sch Geosci, Inst Geog, Drummond St, Edinburgh EH8 9XP, Midlothian, Scotland.</t>
  </si>
  <si>
    <t>david.sugden@ed.ac.uk; m.j.bentley@durham.ac.uk; rsp@geo.unizh.ch</t>
  </si>
  <si>
    <t>Fogwill, Christopher/HPF-1150-2023; Bentley, Michael J/F-7386-2011; Fogwill, Chris/AAW-3502-2021</t>
  </si>
  <si>
    <t>Bentley, Michael J/0000-0002-2048-0019; Fogwill, Chris/0000-0002-6471-1106; McCulloch, Robert/0000-0001-5542-3703</t>
  </si>
  <si>
    <t>10.1111/j.0435-3676.2005.00259.x</t>
  </si>
  <si>
    <t>943NQ</t>
  </si>
  <si>
    <t>WOS:000230361200002</t>
  </si>
  <si>
    <t>McCulloch, RD; Fogwill, CJ; Sugden, DE; Bentley, MJ; Kubik, PW</t>
  </si>
  <si>
    <t>Chronology of the last glaciation in central Strait of Magellan and Bahia Inutil, southernmost South America</t>
  </si>
  <si>
    <t>TIERRA-DEL-FUEGO; CLIMATE-CHANGE; COSMOGENIC NUCLIDES; NEW-ZEALAND; PALYNOLOGICAL EVIDENCE; RADIOCARBON AGE; CHILE; DEGLACIATION; PATAGONIA; RATES</t>
  </si>
  <si>
    <t>Glacier fluctuations in the Strait of Magellan tell of the climatic changes that affected southern latitudes at c. 53-55 degrees S during the Last Glacial Maximum (LGM) and Late-glacial/Holocene transition. Here we present a revised chronology based on cosmogenic isotope analysis, C-14 assays, amino acid racemisation and tephrochronology. We unpick the effect of bedrock-derived lignite which has affected many C-14 dates in the past and synthesise new and revised dates that constrain five glacier advances (A to E). Advance A is prior to the LGM. LGM is represented by Advance B that reached and largely formed the arcuate peninsula Juan Mazia. Carbon-14 and Be-10 dating show it occurred after 31 250 cal yrs BP and culminated at 25 200-23 100 cal yrs BP and was then followed by the slightly less extensive advance C sometime before 22 400-20 300 cal yrs BP. This pattern of an early maximum is found elsewhere in South America and more widely. Stage D, considerably less extensive, culminated sometime before 17 700-17 600 cal yrs BP and was followed by rapid and widespread glacier retreat. Advance E, which dammed a lake, spanned 15500-11770 cal yrs Bp. This latter advance overlaps the Bolling-Allerod interstadials and the glacier retreat occurs during the peak of the Younger Dryas stadial in the northern hemisphere. However, the stage E advance coincides with the Antarctic Cold Reversal (c. 14 800-12 700 cal yrs Bp) and may indicate that some millennial-scale climatic fluctuations in the Late-glacial period are out of phase between the northern and southern hemispheres.</t>
  </si>
  <si>
    <t>Univ Stirling, Sch Biol &amp; Environm Sci, Stirling FK9 4LA, Scotland; Univ Edinburgh, Sch Geosci, Inst Geog, Edinburgh EH8 9XP, Midlothian, Scotland; Univ Durham, Dept Geog, Durham DH1 3LE, England; ETH Honggerberg, Paul Scherrer Inst, Inst Particle Phys, CH-8093 Zurich, Switzerland</t>
  </si>
  <si>
    <t>University of Stirling; University of Edinburgh; Durham University; Swiss Federal Institutes of Technology Domain; ETH Zurich; Paul Scherrer Institute</t>
  </si>
  <si>
    <t>McCulloch, RD (corresponding author), 5 Dean Crescent, Stirling FK8 1UT, Scotland.</t>
  </si>
  <si>
    <t>rdm@geo.ed.ac.uk; cjf@geo.ed.ac.uk; des@geo.ed.ac.uk; rn.j.bentley@durharn.ac.uk; kubik@phys.ethz.ch</t>
  </si>
  <si>
    <t>Bentley, Michael J/F-7386-2011; Fogwill, Chris/AAW-3502-2021; Fogwill, Christopher/HPF-1150-2023</t>
  </si>
  <si>
    <t>10.1111/j.0435-3676.2005.00260.x</t>
  </si>
  <si>
    <t>WOS:000230361200003</t>
  </si>
  <si>
    <t>McCulloch, RD; Bentley, MJ; Tipping, RM; Clapperton, CM</t>
  </si>
  <si>
    <t>Evidence for late-glacial ice dammed lakes in the central Strait of Magellan and Bahia Inutil, southernmost South America</t>
  </si>
  <si>
    <t>YOUNGER DRYAS EVENT; LAST GLACIATION; C-14 AGE; HOLOCENE; CHILE; TEPHROCHRONOLOGY; PALEOCLIMATE; PATAGONIA; HISTORY; RECORD</t>
  </si>
  <si>
    <t>This paper critically appraises the evidence for a succession of ice-dammed lakes in the central Strait of Magellan (c. 53 degrees S) c. 17 000-12 250 cal. yr Bp. The topographic configuration of islands and channels in the southern Strait of Magellan means that the presence of lakes provides compelling constraints on the position of former ice margins. Lake shorelines and glacio-lacustrine sediments have been dated by their association with a key tephra layer from Volcan Reclus (c. 15510 14 350 cal. years BP) and by C-14-dated peats. The timing of glacial lake formation and associated glacier readvances is at odds with the rapid and widespread glacier retreat of the Patagonian ice fields further north after c. 17000 cal. yr BP, suggesting rather that the lakes were coeval with the Antarctic Cold Reversal and persisted to the Late-glacial/ Holocene transition. This apparent asymmetrical latitudinal response in glacier behaviour may reflect overlapping spheres of northern hemisphere and Antarctic climatic influence in the Magellan region.</t>
  </si>
  <si>
    <t>Univ Stirling, Sch Biol &amp; Environm Sci, Stirling FK9 4LA, Scotland; Univ Durham, Dept Geog, Durham DH1 3LE, England; Roscobie House, Banchory AB3 5RT, Kincardine, Scotland</t>
  </si>
  <si>
    <t>University of Stirling; Durham University</t>
  </si>
  <si>
    <t>5 Dean Crescent, Stirling FK8 1UT, Scotland.</t>
  </si>
  <si>
    <t>rdm@geo.ed.ac.uk; m.j.Bentley@durham.ac.uk; rtl@stirling.ac.uk</t>
  </si>
  <si>
    <t>Bentley, Michael J/F-7386-2011</t>
  </si>
  <si>
    <t>Bentley, Michael J/0000-0002-2048-0019; McCulloch, Robert/0000-0001-5542-3703</t>
  </si>
  <si>
    <t>10.1111/j.0435-3676.2005.00262.x</t>
  </si>
  <si>
    <t>WOS:000230361200005</t>
  </si>
  <si>
    <t>Turner, KJ; Fogwill, CJ; McCulloch, RD; Sugden, DE</t>
  </si>
  <si>
    <t>Deglaciation of the eastern flank of the North Patagonian Icefield and associated continental-scale lake diversions</t>
  </si>
  <si>
    <t>SOUTH-AMERICA; CHRONOLOGY; HISTORY</t>
  </si>
  <si>
    <t>We examine the deglaciation of the eastern flank of the North Patagonian Icefield between latitudes 46 degrees and 48 degrees S in an attempt to link the chronology of the Last Glacial Maximum moraines and those close to present-day outlet glaciers. The main features of the area are three shorelines created by ice-dammed lakes that drained eastwards to the Atlantic. On the basis of 16 C-14 and exposure age dates we conclude that there was rapid glacier retreat at 15-16 ka (calendar ages) that saw glaciers retreat 90-125 km to within 20 km of their present margins. There followed a phase of glacier and lake stability at 13.6-12.8 ka. The final stage of deglaciation occurred at c. 12.8 ka, a time when the lake suddenly drained, discharging nearly 2000 km(3) to the Pacific Ocean. This latter event marks the final separation of the North and South Patagonian Icefields. The timing of the onset of deglaciation and its stepped nature are similar to elsewhere in Patagonia and the northern hemisphere. However, the phase of lake stability, coinciding with the Antarctic Cold Reversal and ending during the Younger Dryas interval, mirrors climatic trends as recorded in Antarctic ice cores. The implication is that late-glacial changes in southern Patagonia were under the influence of the Antarctic realm and out of phase with those of the northern hemisphere.</t>
  </si>
  <si>
    <t>Univ Edinburgh, Sch Geosci, Inst Geog, Edinburgh EH8 9XP, Midlothian, Scotland</t>
  </si>
  <si>
    <t>Univ Edinburgh, Sch Geosci, Inst Geog, Edinburgh EH8 9XP, Midlothian, Scotland.</t>
  </si>
  <si>
    <t>david.sugden@ed.ac.uk</t>
  </si>
  <si>
    <t>Fogwill, Christopher/HPF-1150-2023; Fogwill, Chris/AAW-3502-2021</t>
  </si>
  <si>
    <t>Fogwill, Chris/0000-0002-6471-1106; McCulloch, Robert/0000-0001-5542-3703</t>
  </si>
  <si>
    <t>10.1111/j.0435-3676.2005.00263.x</t>
  </si>
  <si>
    <t>WOS:000230361200006</t>
  </si>
  <si>
    <t>Hubbard, A; Hein, AS; Kaplan, MR; Hulton, NRJ; Glasser, NF</t>
  </si>
  <si>
    <t>A modelling reconstruction of the last glacial maximum ice sheet and its deglaciation in the vicinity of the Northern Patagonian Icefield, South America</t>
  </si>
  <si>
    <t>COSMOGENIC NUCLIDE CHRONOLOGY; LAKE DISTRICT; CLIMATE; TERMINATION</t>
  </si>
  <si>
    <t>A time-dependent model is used to investigate the interaction between climate, extent and fluctuations of Patagonian ice sheet between 45 degrees and 48 degrees S during the last glacial maximum (LGM) and its subsequent deglaciation. The model is applied at 2 km resolution and enables ice thickness, lithospheric response and ice deformation and sliding to interact freely and is perturbed from present day by relative changes in sea level and equilibrium line altitude (ELA). Experiments implemented to identify an LGM configuration compatible with the available empirical record, indicate that a stepped ELA lowering of 750 to 950 m is required over 15000 years to bracket the Fenix I-V suite of moraines at Lago Buenos Aires. However, 900 m of ELA lowering yields an ice sheet which best matches the Fenix V moraine (c. 23000 a BP) and Caldenius' reconstructed LGM limit for the entire modelled area. This optimum LGM experiment yields a highly dynamic, low aspect ice sheet, with a mean ice thickness of c. 1130 m drained by numerous large ice streams to the western, seaward margin and two large, fast-flowing outlet lobes to the east. Forcing this scenario into deglaciation using a re-scaled Vostok ice core record results in an ice sheet that slowly shrinks by 25% to c. 14 500 a Bp, after which it experiences a rapid collapse, loosing some 85% of its volume in c. 800 years. Its margins stabilize during the Antarctic Cold Reversal after which it shrinks to near present-day limits by 11000 a BP.</t>
  </si>
  <si>
    <t>Univ Edinburgh, Sch Geosci, Edinburgh EH 9XP, Midlothian, Scotland; Univ Wales, Inst Geog &amp; Earth Sci, Ctr Glaciol, Aberystwyth SY23 3DB, Ceredigion, Wales</t>
  </si>
  <si>
    <t>University of Edinburgh; Aberystwyth University</t>
  </si>
  <si>
    <t>Univ Edinburgh, Sch Geosci, Drummond St, Edinburgh EH 9XP, Midlothian, Scotland.</t>
  </si>
  <si>
    <t>alh@geo.ed.ac.uk; ahein98@hotmail.com; mike.kaplan@ed.ac.uk; nyh@geo.ed.ac.uk; nfg@aber.ac.uk</t>
  </si>
  <si>
    <t>Glasser, Neil F/C-1971-2012; Hein, Andrew/JWO-3756-2024; Kaplan, Michael R/D-4720-2011; Hubbard, Alun/R-5085-2017</t>
  </si>
  <si>
    <t>Hubbard, Alun/0000-0002-0503-3915; Glasser, Neil/0000-0002-8245-2670; Hein, Andrew/0000-0003-3397-3813</t>
  </si>
  <si>
    <t>10.1111/j.0435-3676.2005.00264.x</t>
  </si>
  <si>
    <t>WOS:000230361200007</t>
  </si>
  <si>
    <t>Fogwill, CJ; Kubik, PW</t>
  </si>
  <si>
    <t>A glacial stage spanning the Antarctic Cold Reversal in Torres del Paine (51°S), Chile, based on preliminary cosmogenic exposure ages</t>
  </si>
  <si>
    <t>Antarctic Cold Reversal; South America; Patagonia.; Late Glacial; geomorphology; cosmogenic</t>
  </si>
  <si>
    <t>PALEOECOLOGICAL EVIDENCE; CLIMATIC INFERENCES; LAST GLACIATION; FLUCTUATIONS; TERMINATION; MAGELLAN; NUCLIDES; HISTORY; STRAIT; RATES</t>
  </si>
  <si>
    <t>Initial cosmogenic Be-10 results from a former ice limit in Torres del Paine indicate a short-lived stillstand or readvance of Patagonian ice culminating at 12-15 kyr BP with a mean age of 13.2 +/- 0.8 kyr Bp. The glacier extended some 40 km beyond the present ice margin and was within 15 km of the presumed Last Glacial Maximum limits. The timing of the glacier stage spans the cooling event recorded in Antarctic ice cores, termed the Antarctic Cold Reversal (14.5-12.9 kyr Bp). This result implies that glaciers at these latitudes were out of phase with those in the northern hemisphere; instead they mirrored the climate structure of Antarctica during the last glacial to interglacial transition.</t>
  </si>
  <si>
    <t>Univ Edinburgh, Sch Geosci, Inst Geog, Edinburgh EH8 9XP, Midlothian, Scotland; ETH Honggerberg, Inst Particle Phys, Paul Scherrer Inst, CH-8093 Zurich, Switzerland</t>
  </si>
  <si>
    <t>University of Edinburgh; Swiss Federal Institutes of Technology Domain; Paul Scherrer Institute; ETH Zurich</t>
  </si>
  <si>
    <t>fogwill@staffmail.ed.ac.uk; kubik@phys.ethz.ch</t>
  </si>
  <si>
    <t>Fogwill, Chris/AAW-3502-2021; Fogwill, Christopher/HPF-1150-2023</t>
  </si>
  <si>
    <t>Fogwill, Chris/0000-0002-6471-1106;</t>
  </si>
  <si>
    <t>10.1111/j.0435-3676.2005.00266.x</t>
  </si>
  <si>
    <t>WOS:000230361200009</t>
  </si>
  <si>
    <t>Florindo, F; Roberts, AP</t>
  </si>
  <si>
    <t>Eocene-Oligocene magnetobiochronology of ODP Sites 689 and 690, Maud Rise, Weddell Sea, Antarctica</t>
  </si>
  <si>
    <t>GEOLOGICAL SOCIETY OF AMERICA BULLETIN</t>
  </si>
  <si>
    <t>Eocene; Oligocene; Ocean Drilling Program; 689; 690; Maud Rise; Antarctica; magnetostratigraphy</t>
  </si>
  <si>
    <t>CALCAREOUS NANNOFOSSIL MAGNETOBIOCHRONOLOGY; KERGUELEN PLATEAU; SOUTHERN-OCEAN; SEDIMENT CORES; EAST; CALIBRATION; GLACIATION; EVOLUTION; SITE-744; MOTION</t>
  </si>
  <si>
    <t>Magnetostratigraphic studies of Paleogene sediments piston-cored on Maud Rise, Weddell Sea (ODP Sites 689 and 690), are a cornerstone of Southern Ocean Paleogene and Neogene chronostratigraphy. However, parts of previous magnetostratigraphic interpretations have been called into question, and recent reinvestigation of the upper Palcocene-middle Eocene portion of Site 690 suggested that the records might be contaminated by spurious magnetizations, which raises doubts about the reliability of these important records. We undertook a high-resolution magnetostratigraphic study of Eocene-Oligocene u-channel samples from ODP Holes 689B, 689D, 690B, and 690C in order to address these concerns. A pervasive overprint appears to be present below the middle Eocene, which compromises magnetobiostratigraphic interpretations for the upper Cretaceous and lower Paleogene. Nevertheless, our new results provide a robust record of geomagnetic field behavior from 38.5 to 25 Ma and confirm the reliability of these sediments for calibration of biostratigraphic datum events during a crucial phase of earth history when major Antarctic ice sheets developed. Also, comparison of magnetozone thicknesses in multiple holes at the same site indicates that similar to1.2-1.8 m of the stratigraphic record is missing at each core break, which corresponds to time breaks of 120-360 k.y. Lack of a continuous record within a single hole renders useless spectral analyses for investigating long geomagnetic and paleoclimatic time series. This observation reinforces the need for coring of multiple offset holes to obtain continuous paleoceanographic records. Sedimentary hiatuses have been identified only at the deeper of the two investigated sites (Site 690), which could mark a local response to the onset of the Antarctic Circumpolar Current.</t>
  </si>
  <si>
    <t>Ist Nazl Geofis &amp; Vulcanol, I-00143 Rome, Italy; Univ Southampton, Southampton Oceanog Ctr, Southampton SO14 3ZH, Hants, England</t>
  </si>
  <si>
    <t>Istituto Nazionale Geofisica e Vulcanologia (INGV); NERC National Oceanography Centre; University of Southampton</t>
  </si>
  <si>
    <t>Ist Nazl Geofis &amp; Vulcanol, Via Vigna Murata,605, I-00143 Rome, Italy.</t>
  </si>
  <si>
    <t>Roberts, Andrew P/E-6422-2010; Florindo, Fabio/M-1459-2019; Florindo, Fabio/F-4119-2010; Florindo, Fabio/AAU-2548-2021</t>
  </si>
  <si>
    <t>Florindo, Fabio/0000-0002-6058-9748; Florindo, Fabio/0000-0002-6058-9748; Roberts, Andrew P./0000-0003-0566-8117</t>
  </si>
  <si>
    <t>0016-7606</t>
  </si>
  <si>
    <t>1943-2674</t>
  </si>
  <si>
    <t>GEOL SOC AM BULL</t>
  </si>
  <si>
    <t>Geol. Soc. Am. Bull.</t>
  </si>
  <si>
    <t>10.1130/B25541.1</t>
  </si>
  <si>
    <t>888AG</t>
  </si>
  <si>
    <t>WOS:000226346000004</t>
  </si>
  <si>
    <t>Foster, DA; Gray, DR; Spaggiari, C</t>
  </si>
  <si>
    <t>Timing of subduction and exhumation along the Cambrian East Gondwana margin, and the formation of Paleozoic backarc basins</t>
  </si>
  <si>
    <t>40Ar/39Ar dating; Gondwana; Tasmania; obduction; exhumation; Lachlan orogen; Delamerian-Ross orogen; Australia</t>
  </si>
  <si>
    <t>CENTRAL TRANSANTARCTIC MOUNTAINS; LACHLAN FOLD BELT; TECTONIC EVOLUTION; PACIFIC MARGIN; ANTARCTIC MARGIN; ROSS OROGEN; PAN-AFRICAN; ZIRCON AGES; TASMANIA; WESTERN</t>
  </si>
  <si>
    <t>The inversion of the Neoproterozoic-Cambrian passive margin of East Gondwana occurred during the early Paleozoic Delamerian-Ross orogeny. We present 40Ar/39Ar and structural data from deformed and metamorphosed Neoproterozoic elastic rocks beneath the Tasmanian ophiolite and the foot-wall of a high-pressure metamorphic complex in northern Tasmania. These data reveal the timing of accretionary deformation and the initiation of backarc extension along the Australian margin of Gondwana. 40Ar/39Ar analyses of muscovite from lower greenschist facies fault slices bounding the Forth metamorphic complex give plateau ages of 521.4 +/- 2.5 and 520.7 +/- 1.6 Ma. These data suggest that deformation within an accretionary prism off the margin of Tasmania, and possibly ocean arc collision, were under way by ca. 521 Ma. Muscovite from upper amphibolite and upper greenschist facies rocks in five locations of the Forth metamorphic complex, including retrograde shear zones, give 40Ar/39Ar cooling ages that average 508.1 +/- 2.6 Ma. Identical muscovite cooling ages from rocks originally at very different metamorphic P-T conditions suggest rapid cooling of the Forth complex at ca. 508 Ma, due to the juxtaposition of higher-grade against lower-grade rocks. Rapid cooling is also indicated by concordant 40Ar/39Ar ages of hornblende and muscovite in the high-grade core. Cooling was probably due to rapid exhumation-along extensional shear zones within a regional extensional setting that also produced the Mount Read-Mount Stavely volcanic complexes (505-495 Ma) along with rift basins in Tasmania and southeast Australia. This continental rift magmatism and extension were caused by west-dipping subduction under the Australian margin of Gondwana after the collisional phase of the Delamerian-Ross orogeny. Rollback of subduction in the Australian sector of the margin between ca. 508 and 460 Ma produced a backarc basin &gt;1000 km wide that became the basement for the Lachlan orogen turbidites. Similar amounts of subduction rollback seem not to have occurred in Antarctica at this time (unless the record is lost), suggesting significant along-strike differences in the early Paleozoic geodynamics of the Delamerian-Ross orogenic system.</t>
  </si>
  <si>
    <t>Univ Florida, Dept Geol Sci, Gainesville, FL 32611 USA; Univ Melbourne, Sch Earth Sci, Melbourne, Vic 3010, Australia; Curtin Univ Technol, Dept Appl Geol, Perth, WA 6845, Australia</t>
  </si>
  <si>
    <t>State University System of Florida; University of Florida; University of Melbourne; Melbourne Bioinformatics; Curtin University</t>
  </si>
  <si>
    <t>Univ Florida, Dept Geol Sci, POB 112120, Gainesville, FL 32611 USA.</t>
  </si>
  <si>
    <t>dfoster@geology.ufl.edu</t>
  </si>
  <si>
    <t>Spaggiari, Catherine/R-6453-2019; Foster, David A/F-1727-2010</t>
  </si>
  <si>
    <t>Spaggiari, Catherine/0000-0003-1393-3275; Foster, David A./0000-0002-5603-9372</t>
  </si>
  <si>
    <t>10.1130/B25481.1</t>
  </si>
  <si>
    <t>WOS:000226346000007</t>
  </si>
  <si>
    <t>Baroni, C; Noti, V; Ciccacci, S; Righini, G; Salvatore, MC</t>
  </si>
  <si>
    <t>Fluvial origin of the valley system in northern Victoria Land (Antarctica) from quantitative geomorphic analysis</t>
  </si>
  <si>
    <t>quantitative analysis; landscape evolution; Transantarctic Mountains; east Antarctica; Cenozoic</t>
  </si>
  <si>
    <t>TRANSANTARCTIC MOUNTAINS; LANDSCAPE EVOLUTION; GLACIAL HISTORY; DRAINAGE SYSTEMS; ROSS EMBAYMENT; FISSION-TRACK; DRY VALLEYS; RANGE; HYPSOMETRY; EROSION</t>
  </si>
  <si>
    <t>A network of sinuous valleys with typical dendritic pattern characterizes northern Victoria Land (NVL) in Antarctica. Subparallel to parallel and angular to rectangular patterns are also present. Quantitative geomorphic analysis of the valley network has been carried out utilizing GIS spatial analysis. While drainage densities and drainage frequencies show low values, segments of the NVL valley network are substantially well organized, as indicated by bifurcation ratio (R.) and direct bifurcation ratio (R-bd) parameters. All basins faithfully adhere to Horton's laws of drainage network composition. Quantitative geomorphic analysis suggests that the valley system can be ascribed to fluvial origin and that consequently, a morphoclimatic system completely different from that of present day must have driven its carving. The resulting data provide indications about the origin of the valley network and this invaluable information can be used for the reconstruction of earlier phases of glacial history and climatic and tectonic evolution of this significant Antarctic region. Fluvial erosion enhanced the denudation of the Trans-antarctic Mountains from at least 55 Ma to at least the Eocene-Oligocene boundary (ca 34 Ma). Fluvial basins adapted to the tectonic structure, following the main regional fault systems. A well-developed alpine topography postdates the fluvial morphology. Temperate glaciers were responsible for denudation until the Late Miocene. Parasitic glaciers presently mantle the previously sculpted topography. Present-day glacial erosion is negligible and denudation has been exceedingly slow since 7.5 Ma.</t>
  </si>
  <si>
    <t>Univ Pisa, Dipartimento Sci Terra, I-56126 Pisa, Italy; CNR, Inst Geosci &amp; Georesources, I-56126 Pisa, Italy; Univ Roma La Sapienza, Dipartimento Sci Terra, I-00185 Rome, Italy</t>
  </si>
  <si>
    <t>University of Pisa; Consiglio Nazionale delle Ricerche (CNR); Sapienza University Rome</t>
  </si>
  <si>
    <t>Baroni, C (corresponding author), Univ Pisa, Dipartimento Sci Terra, Via S Maria 53, I-56126 Pisa, Italy.</t>
  </si>
  <si>
    <t>baroni@dst.unipi.it</t>
  </si>
  <si>
    <t>Ciccacci, Sirio/D-3748-2009; Baroni, Carlo/D-8184-2012; Salvatore, Maria Cristina/AAS-4000-2020</t>
  </si>
  <si>
    <t>Baroni, Carlo/0000-0001-5905-4650; Salvatore, Maria Cristina/0000-0002-1590-7284</t>
  </si>
  <si>
    <t>ASSOC ENGINEERING GEOLOGISTS GEOLOGICAL SOCIETY AMER</t>
  </si>
  <si>
    <t>DENVER</t>
  </si>
  <si>
    <t>720 S COLORADO BLVD, STE 960-S, DENVER, CO 80246 USA</t>
  </si>
  <si>
    <t>10.1130/B25529.1</t>
  </si>
  <si>
    <t>WOS:000226346000014</t>
  </si>
  <si>
    <t>Kouwenberg, L; Wagner, R; Kürschner, W; Visscher, H</t>
  </si>
  <si>
    <t>Atmospheric CO2 fluctuations during the last millennium reconstructed by stomatal frequency analysis of Tsuga heterophylla needles</t>
  </si>
  <si>
    <t>carbon dioxide; palcoclimate; holocene; conifers climate; controls; paleoecology</t>
  </si>
  <si>
    <t>ICE CORE; TEMPERATURE VARIABILITY; CLIMATE VARIABILITY; ANTARCTIC ICE; CARBON-CYCLE; WARM PERIOD; HOLOCENE; CALIBRATION; INCREASE; RECORDS</t>
  </si>
  <si>
    <t>A stomatal frequency record based on buried Tsuga hetero-phylla needles reveals significant centennial-scale atmospheric CO2 fluctuations during the last millennium. The record includes four CO2 minima of 260-275 ppmv (ca. A.D. 860 and A.D. 1150, and less prominently, ca. A.D. 1600 and 1800). Alternating CO2 maxima of 300-320 ppmv are present at A.D. 1000, A.D. 1300, and ca. A.D. 1700. These CO2 fluctuations parallel global terrestrial air temperature changes, as well as oceanic surface temperature fluctuations in the North Atlantic. The results obtained in this study corroborate the notion of a continuous coupling of the preindustrial atmospheric CO2 regime and climate.</t>
  </si>
  <si>
    <t>Univ Utrecht, Palaeoecol Lab Palaeobot &amp; Palynol, NL-3584 CD Utrecht, Netherlands</t>
  </si>
  <si>
    <t>Kouwenberg, L (corresponding author), Univ Utrecht, Palaeoecol Lab Palaeobot &amp; Palynol, Budapestlaan 4, NL-3584 CD Utrecht, Netherlands.</t>
  </si>
  <si>
    <t>Kürschner, Wolfram Michael/B-4724-2009; Kürschner, Wolfram Michael/AAC-7769-2020; Wagner-Cremer, Friederike/B-4225-2009</t>
  </si>
  <si>
    <t>Kürschner, Wolfram Michael/0000-0001-6883-6486; Kürschner, Wolfram Michael/0000-0001-6883-6486; Visscher, Henk/0000-0002-9276-0220</t>
  </si>
  <si>
    <t>10.1130/G20941.1</t>
  </si>
  <si>
    <t>888EB</t>
  </si>
  <si>
    <t>WOS:000226355900009</t>
  </si>
  <si>
    <t>Blagoveshchenskaya, NF; Blagoveshchenskii, DV; Kornienko, VA; Borisova, TD; Moskvin, IV; Berdnikova, MY; Yanzhura, AS</t>
  </si>
  <si>
    <t>Ionospheric effects during the main phase of the magnetic storm of November 20, 2003, in the European arctic regions</t>
  </si>
  <si>
    <t>HIGH-LATITUDE IONOSPHERE; WAVE DISTURBANCES; PI2 PULSATIONS</t>
  </si>
  <si>
    <t>The ionospheric effects during the main phase of the extremely intense magnetic storm of November 20, 2003 (Dst = -472 nT), caused by the M-class solar flare of November 18, 2003, have been considered. During the storm, HF Doppler measurements in the auroral zone were simultaneously performed at several frequencies and in several directions using the method of bi-static backscatter observations of diagnostic HF radiowaves scattered by small-scale ionospheric field-aligned irregularities. The observations by the method of oblique-incidence ionospheric sounding at a sweeping frequency were also performed on two high-latitude radio paths. The state of the ionosphere in the region of scattering of diagnostic HF sionals was controlled based on data of the Tromso dynasonde, which registered the F2 layer critical frequencies (foF2 = 4-7 MHz), anomalously high for the main phase of the magnetic storm on the nightside. It has been found out that short-period wave processes in the ionosphere with predominant periods of 1.5-2.0 and 4-8 min can be caused by the generation of Pi2 and Pc5-6 geomagnetic pulsations, respectively. It has been established that decametric radio-waves were absent on auroral radio paths for several hours.</t>
  </si>
  <si>
    <t>Russian Acad Sci, Arctic &amp; Antarctic Res Inst AANII, St Petersburg 199397, Russia; State Univ Aerosp Instrument Making, St Petersburg, Russia</t>
  </si>
  <si>
    <t>Arctic &amp; Antarctic Research Institute; Russian Academy of Sciences; Saint Petersburg State University of Aerospace Instrumentation</t>
  </si>
  <si>
    <t>Russian Acad Sci, Arctic &amp; Antarctic Res Inst AANII, Ul Beringa 38, St Petersburg 199397, Russia.</t>
  </si>
  <si>
    <t>Blagoveshchenskaya, Nataly/AAE-4093-2022; Blagoveshchenskaya, Nataly F./S-4342-2017; Borisova, Tatiana/AAK-7698-2020</t>
  </si>
  <si>
    <t>Blagoveshchenskaya, Nataly/0000-0003-1752-3273; Blagoveshchenskaya, Nataly F./0000-0003-1752-3273; Borisova, Tatiana/0000-0003-1727-5310</t>
  </si>
  <si>
    <t>900XL</t>
  </si>
  <si>
    <t>WOS:000227247500006</t>
  </si>
  <si>
    <t>Herzfeld, UC; Maslanik, J; Mayer, H; McBride, P; Williams, S</t>
  </si>
  <si>
    <t>Cheng, Q; BonhamCarter, G</t>
  </si>
  <si>
    <t>New results on the changing cryosphere from geostatistical interpolation and classification of first and second order spatial variables</t>
  </si>
  <si>
    <t>GIS and Spatial Analysis, Vol 1and 2</t>
  </si>
  <si>
    <t>Annual Conference of the International-Association-for-Mathematical-Geology</t>
  </si>
  <si>
    <t>AUG 21-26, 2005</t>
  </si>
  <si>
    <t>Toronto, CANADA</t>
  </si>
  <si>
    <t>ANTARCTIC ICE-SHEET; PATTERNS</t>
  </si>
  <si>
    <t>In recent years, not only glaciers in mid-latitude mountain ranges, but also outlet glaciers of the Greenland and Antarctic ice sheets have shown signs of rapid and accelerated change. Jakobshavns Isbae in West Greenland, the world's fastest glacier, has been rapidly retreating since 1999. Pine Island Glacier in East Antarctica is retreating, threatening the stability of the East-Antarctic Ice Sheet. Ice shelves at the Antarctic Peninsula are breaking up, and the Arctic sea-ice cover has reached a record-low in two consecutive years in 2002 and 2003. These are the most popularized but yet a few examples of cryospheric change that occurs likely as a result of climatic warming. Observations of Arctic and Antarctic glaciers are best accomplished by satellite remote sensing, which have been complemented by numerous but naturally localized field campaigns. The advance in satellite and airborne remote-sensing technology calls for new geomathematical methods to process, correct and analyze the resultant data. In this paper we present well-known and new approaches to spatial data analysis from such remote sensing data. Geostatistical estimation methods are utilized to construct high-resolution digital elevation models from satellite and airborne laser altimeter data (ICESAT/GLAS and ATM data), generally, a problem of combination and integration of data sets with different spatial properties representing the same first-order variable. Surface roughness, formally a spatial derivative, is a second-order variable that facilitates feature detection in remote-sensing data with application of the geostatistical classification method. The classification method is a complex and growing collection of spatial analysis tools (which are less geostatistical than the name indicates). The complexity of sea-ice provinces in the Alaskan Arctic motivated the definition of the new hyperparameter theory; applications to classification of sea-ice types are presented.</t>
  </si>
  <si>
    <t>Univ Colorado, Cooperat Inst Res Environm Sci, Boulder, CO 80309 USA</t>
  </si>
  <si>
    <t>Herzfeld, UC (corresponding author), Univ Colorado, Cooperat Inst Res Environm Sci, Boulder, CO 80309 USA.</t>
  </si>
  <si>
    <t>Herzfeld, Ute/AAE-5115-2019</t>
  </si>
  <si>
    <t>Herzfeld, Ute/0000-0002-5694-4698</t>
  </si>
  <si>
    <t>YORK UNIV</t>
  </si>
  <si>
    <t>TORONTO</t>
  </si>
  <si>
    <t>4700 KEELE ST, TORONTO, ON M3J1P3, CANADA</t>
  </si>
  <si>
    <t>0-9734220-1-7</t>
  </si>
  <si>
    <t>Computer Science, Information Systems; Geosciences, Multidisciplinary; Mathematics, Interdisciplinary Applications; Remote Sensing</t>
  </si>
  <si>
    <t>Computer Science; Geology; Mathematics; Remote Sensing</t>
  </si>
  <si>
    <t>BDF50</t>
  </si>
  <si>
    <t>WOS:000233264200013</t>
  </si>
  <si>
    <t>Parubets, N; Parubets, P</t>
  </si>
  <si>
    <t>Initial attempt to establish a mathematical model of the effect of global warming on the lithosphere</t>
  </si>
  <si>
    <t>Discussions of global warming (GW) have usually focused on its effects on the atmosphere and hydrosphere, but not on the lithosphere. The mathematical model presented facilitates the analysis of the effect of GW on the structure of the Earth's crust. The model itself, in its turn, is derived from the analysis of the origin and existence of the ridge displacements. The most available explanation for the existence of these formations, which appear worldwide, relies on Euler's theorem, which could to some extent be used mathematically in the analysis of this global phenomenon. The theorem is irrelevant with regard to the physics of those displacements and groundless in the geological sense, however. At the same time, the powerful geophysical processes are revealed by the interpretation of the origin of ridge displacements as a result of Cenozoic glaciation. At the present time, the Antarctic and Greenland ice sheets still contain approximately 33 x 10(6) km(3) of ice, which could add an additional 30 x 10(15) kg of water to the ocean if they melted. If the recent acceleration of the rise in the global average temperature continues at the present rate, sooner or later it could bring the surface of the planet to the non-glacial Mesozoic-Early Cenozoic greenhouse stage. According to the model presented, the oceanic crust would perhaps revert to a state that is like the pre-glacial, mid-Miocene state.</t>
  </si>
  <si>
    <t>Granton Inst Technol, Toronto, ON M5H 1Y3, Canada</t>
  </si>
  <si>
    <t>Parubets, N (corresponding author), Granton Inst Technol, 263 Adelaide St W, Toronto, ON M5H 1Y3, Canada.</t>
  </si>
  <si>
    <t>WOS:000233264200205</t>
  </si>
  <si>
    <t>Scheinert, M</t>
  </si>
  <si>
    <t>Jekeli, C; Bastos, L; Fernandes, J</t>
  </si>
  <si>
    <t>The Antarctic geoid project: Status report and next activities</t>
  </si>
  <si>
    <t>Gravity, Geoid and Space Missions</t>
  </si>
  <si>
    <t>INTERNATIONAL ASSOCIATION OF GEODESY SYMPOSIA</t>
  </si>
  <si>
    <t>IAG International Symposium on Gravity, Geoid and Space Missions (GGSM 2004)</t>
  </si>
  <si>
    <t>AUG 30-SEP 03, 2004</t>
  </si>
  <si>
    <t>Oporto, PORTUGAL</t>
  </si>
  <si>
    <t>Gravity surveys; geoid determination; Antarctica</t>
  </si>
  <si>
    <t>GRAVITY</t>
  </si>
  <si>
    <t>The Antarctic Geoid Project (AntGP) forms the Commission Project 2.4 within the IAG Subcommission 2.4 Regional Geoid Determination. The main scientific goal of AntGP is to compile gravity data for the entire Antarctic, thus to fill in the southern polar gap and to improve the terrestrial gravity data coverage. A completed Antarctic gravity dataset will substantially contribute to the determination of the global gravity field in combination with the new satellite missions and will serve as an excellent basis for regional and continental geoid improvement. Therefore, efforts have to be made to compile already existing data and to promote new gravity observation campaigns. Under Antarctic conditions, airborne gravimetry has proved the most powerful technique. Also, the connection of the different gravity surveys to a common gravity datum has to be made. Reference stations observed with absolute gravity meters should play an important role for this task. The paper will review the status of AntGP and the work done so far. Special attention will be given to pointing out the liaison to initiatives within the Scientific Committee on Antarctic Research (SCAR). The activities to be undertaken within the near future will be outlined as well.</t>
  </si>
  <si>
    <t>Tech Univ Dresden, Inst Planetare Deodasie, D-01062 Dresden, Germany</t>
  </si>
  <si>
    <t>Technische Universitat Dresden</t>
  </si>
  <si>
    <t>Scheinert, M (corresponding author), Tech Univ Dresden, Inst Planetare Deodasie, D-01062 Dresden, Germany.</t>
  </si>
  <si>
    <t>Scheinert, Mirko/0000-0002-0892-8941</t>
  </si>
  <si>
    <t>0939-9585</t>
  </si>
  <si>
    <t>3-540-26930-4</t>
  </si>
  <si>
    <t>IAG SYMP</t>
  </si>
  <si>
    <t>Geochemistry &amp; Geophysics; Remote Sensing</t>
  </si>
  <si>
    <t>BCY97</t>
  </si>
  <si>
    <t>WOS:000231964700024</t>
  </si>
  <si>
    <t>Fukuda, Y; Higashi, T; Takemoto, S; Iwano, S; Doi, K; Shibuya, K; Hiraoka, Y; Kimura, I; McQueen, H; Govind, R</t>
  </si>
  <si>
    <t>Absolute gravity measurements in Australia and Syowa Station, Antarctica</t>
  </si>
  <si>
    <t>absolute gravity measurements; IAGSN; GGP; superconducting gravimeter; Antarctica; postglacial rebound</t>
  </si>
  <si>
    <t>Absolute gravity measurements have been carried out in Perth and Canberra, Australia, and at Syowa Station, Antarctica, as a part of activities of the 45th Japanese Antarctic Research Expedition during 2003-2004. Using a FG-5 (#210), the measurements in Perth were conducted at the Perth Observatory on November 25 and 26, 2003, and those in Canberra were conducted at Mt Stromlo Observatory and at Tidbinbilla Deep Space Tracking Station from March 26 to April 16, 2004. The gravity values obtained at the Perth observatory, Mt Stromlo and Tidbinbilla are 979403619.9 mu Gal, 979549870.7 mu Gal and 979576114.3 mu Gal, respectively. Using a FG-5 (#111), Geoscience Australia and Micro-g Solutions occupied the same points at Perth and Tidbinbilla in June 2003. The gravity values at Tidbinbilla agreed very well at 0.1 mu Gal, while the values at Perth differed by 13.4 mu Gal due to unknown causes. The measurements at Syowa Station, Antarctica were carried out using two FG-5s (4210 and #203) from December 30th, 2003 to February 1st, 2004. There is a category A point of the International Absolute Gravity Base Station Network (IAGBN) in the gravity observation hut at Syowa Station. The gravity values obtained by #203 and #210 are 982524322.8 mu Gal and 982524324.5 mu Gal, respectively such that both agreed at 1.7 mu Gal. There are two previous gravity values obtained by a FG-5 in 1995 and 2001. The secular rate of the gravity changes estimated from the values is -0.27 +/- 0.42 mu Gal/yr. This value is consistent with an estimated rate from postglacial rebound models.</t>
  </si>
  <si>
    <t>Kyoto Univ, Grad Sch Sci, Sakyo Ku, Kyoto 6068502, Japan</t>
  </si>
  <si>
    <t>Fukuda, Y (corresponding author), Kyoto Univ, Grad Sch Sci, Sakyo Ku, Kyoto 6068502, Japan.</t>
  </si>
  <si>
    <t>McQueen, Herbert/0000-0002-3490-7482</t>
  </si>
  <si>
    <t>WOS:000231964700049</t>
  </si>
  <si>
    <t>Bering, EA; Holzworth, RH; Reddell, BD; Kokorowski, MF; Kadokura, A; Yamagishi, H; Sato, N; Ejiri, M; Hirosawa, H; Yamagami, T; Torii, S; Tohyama, F; Nakagawa, M; Okada, T</t>
  </si>
  <si>
    <t>Chakrabarty, DK; Gupta, SP</t>
  </si>
  <si>
    <t>Balloon observations of temporal and spatial fluctuations in stratospheric conductivity</t>
  </si>
  <si>
    <t>GREENHOUSE GASES, OZONE, AND ELECTRODYNAMICS; THEIR CHANGES IN THE MIDDLE ATMOSPHERE AND LOWER THERMOSPHERE</t>
  </si>
  <si>
    <t>Polar Patrol Balloon (PPB); balloon; stratosphere; conductivity; spatial structure; time variations; antarctic</t>
  </si>
  <si>
    <t>VERTICAL ELECTRIC-FIELD; POLAR PATROL BALLOON; LOW-LATITUDE; ION DRIFTS; PRECIPITATION; THUNDERSTORM; VARIABILITY; ATMOSPHERE; RADIATION; BOUNDARY</t>
  </si>
  <si>
    <t>The first campaign of the Polar Patrol Balloon (PPB) experiment (1st-PPB) was carried out at Syowa Station in Antarctica during 1990-1991 and 1992-1993. Based on the results of the 1st-PPB experiment, the next campaign (2nd-PPB) was carried out in the austral summer of 2002-2003. This paper will present stratospheric conductivity results from the 2nd-PPB experiment. In that experiment, three balloons were launched for the purpose of upper atmosphere physics observation (three balloons). Payloads of these three flights were identical with each other, and were launched as close together in time as allowed by weather conditions to constitute a cluster of balloons during their flights. Such a Balloon Cluster is suitable to observe temporal evolution and spatial distribution of phenomena in the ionospheric regions and boundaries that the balloons traversed during their circumpolar trajectory. More than 20 days of simultaneous fair weather 3-axis electric field and stratospheric conductivity data were obtained at geomagnetic latitudes ranging from sub-auroral to the polar cap. Balloon separation varied from similar to 60 to &gt; 1000 km. This paper will present stratospheric conductivity observations with emphasis on the temporal and spatial variations that were observed. (c) 2005 COSPAR. Published by Elsevier Ltd. All rights reserved.</t>
  </si>
  <si>
    <t>Univ Houston, Dept Phys, Houston, TX 77204 USA; Univ Washington, Seattle, WA 98195 USA; Natl Inst Polar Res, Itabashi Ku, Tokyo 1738515, Japan; Inst Space &amp; Astronaut Sci, Sagamihara, Kanagawa 2298510, Japan; Kanagawa Univ, Inst Phys, Yokohama, Kanagawa 2218686, Japan; Tokai Univ, Fac Engn, Hiratsuka, Kanagawa 2591292, Japan; Osaka City Univ, Fac Sci, Sumiyoshi Ku, Osaka 5588585, Japan; Toyama Prefectural Univ, Fac Engn, Toyama 9390398, Japan</t>
  </si>
  <si>
    <t>University of Houston System; University of Houston; University of Washington; University of Washington Seattle; Research Organization of Information &amp; Systems (ROIS); National Institute of Polar Research (NIPR) - Japan; Japan Aerospace Exploration Agency (JAXA); Institute of Space &amp; Astronautical Science (ISAS); Kanagawa University; Tokai University; Osaka Metropolitan University; Toyama Prefectural University</t>
  </si>
  <si>
    <t>Bering, EA (corresponding author), Univ Houston, Dept Phys, 617 Sci &amp; Res 1, Houston, TX 77204 USA.</t>
  </si>
  <si>
    <t>ebering@mail.uh.edu</t>
  </si>
  <si>
    <t>Holzworth, Robert/0000-0002-8839-618X</t>
  </si>
  <si>
    <t>KIDLINGTON</t>
  </si>
  <si>
    <t>THE BOULEVARD, LANGFORD LANE,, KIDLINGTON OX5 1GB, OXFORD, ENGLAND</t>
  </si>
  <si>
    <t>10.1016/j.asr.2005.04.009</t>
  </si>
  <si>
    <t>Engineering, Aerospace; Astronomy &amp; Astrophysics; Geosciences, Multidisciplinary; Meteorology &amp; Atmospheric Sciences</t>
  </si>
  <si>
    <t>Engineering; Astronomy &amp; Astrophysics; Geology; Meteorology &amp; Atmospheric Sciences</t>
  </si>
  <si>
    <t>BDA60</t>
  </si>
  <si>
    <t>WOS:000232300900011</t>
  </si>
  <si>
    <t>Makarova, LN; Shirochkov, A</t>
  </si>
  <si>
    <t>Atmospheric electrodynamics modulated by the solar wind</t>
  </si>
  <si>
    <t>global electric circuit; electric field; solar wind; electric conductivity</t>
  </si>
  <si>
    <t>STRATOSPHERE; DYNAMICS</t>
  </si>
  <si>
    <t>Variations of stratospheric temperature are connected with changes of the solar wind dynamic pressure. This effect could be explained in the framework of the global electric circuit concept. The energy of the solar wind modulates the energy balance of the global electric circuit where the stratosphere could be one of its other elements. The conductivity of the stratosphere in the polar region is equal to and sometimes more than the conductivity of the ground surface covered by ice or permafrost. Re-distribution of the global electric circuit currents between the stratosphere and the ground surface determines a different relation between solar wind dynamics and variations of the stratospheric temperature during different seasons. (c) 2005 COSPAR. Published by Elsevier Ltd. All rights reserved.</t>
  </si>
  <si>
    <t>Makarova, LN (corresponding author), Arctic &amp; Antarctic Res Inst, 38 Bering St, St Petersburg 199397, Russia.</t>
  </si>
  <si>
    <t>shirmak@aari.nw.ru</t>
  </si>
  <si>
    <t>10.1016/j.asr.2005.02.058</t>
  </si>
  <si>
    <t>WOS:000232300900016</t>
  </si>
  <si>
    <t>Kim, S; Walsh, W; Xiao, KC; Lane, AP; Stark, AA</t>
  </si>
  <si>
    <t>Engvold, O</t>
  </si>
  <si>
    <t>Kim, Sungeun; Walsh, Wilfred; Xiao, Kecheng; Lane, Adair P.; Stark, Antony A.</t>
  </si>
  <si>
    <t>CO J=7→6 emission in the Large Magellanic Cloud</t>
  </si>
  <si>
    <t>HIGHLIGHTS OF ASTRONOMY, VOL 13</t>
  </si>
  <si>
    <t>IAU SYMPOSIA</t>
  </si>
  <si>
    <t>25th General Assembly of the International-Astronomical-Union</t>
  </si>
  <si>
    <t>JUL 13-26, 2003</t>
  </si>
  <si>
    <t>Sydney, AUSTRALIA</t>
  </si>
  <si>
    <t>SEST KEY PROGRAM; APERTURE SYNTHESIS</t>
  </si>
  <si>
    <t>We present the first detection of (12)CO (J = 7 -&gt; 6) emission in the Magellanic Clouds toward the 30 Doradus region using the Antarctic Sub-millimeter Telescope and Remote Observatory (AST/RO).</t>
  </si>
  <si>
    <t>Univ Massachusetts, Dept Astron, Amherst, MA 01003 USA; Harvard Smithsonian Ctr Astrophys, Cambridge, MA 02138 USA</t>
  </si>
  <si>
    <t>University of Massachusetts System; University of Massachusetts Amherst; Smithsonian Institution; Smithsonian Astrophysical Observatory; Harvard University</t>
  </si>
  <si>
    <t>Kim, S (corresponding author), Univ Massachusetts, Dept Astron, 710 N Pleasant St, Amherst, MA 01003 USA.</t>
  </si>
  <si>
    <t>ASTRONOMICAL SOC PACIFIC</t>
  </si>
  <si>
    <t>390 ASHTON AVE, SAN FRANCISCO, CA 94112 USA</t>
  </si>
  <si>
    <t>0074-1809</t>
  </si>
  <si>
    <t>1-58381-189-3</t>
  </si>
  <si>
    <t>IAU SYMP</t>
  </si>
  <si>
    <t>BFB49</t>
  </si>
  <si>
    <t>WOS:000240768700240</t>
  </si>
  <si>
    <t>Stark, AA</t>
  </si>
  <si>
    <t>Stark, Antony A.</t>
  </si>
  <si>
    <t>The AST/RO survey of the Galactic Center Region</t>
  </si>
  <si>
    <t>ANTARCTIC-SUBMILLIMETER-TELESCOPE; KINEMATICS</t>
  </si>
  <si>
    <t>AST/RO is a 1.7m diameter submillimeter-wave telescope at the geographic South Pole. A key AST/RO project is the mapping of CI and CO J = 4 -&gt; 3 and J = 7 -&gt; 6 emission from the inner Milky Way (Martin et al. 2003). These data are released for general use.</t>
  </si>
  <si>
    <t>Smithsonian Astrophys Observ, Cambridge, MA 02138 USA</t>
  </si>
  <si>
    <t>Smithsonian Astrophysical Observatory; Smithsonian Institution; Harvard University</t>
  </si>
  <si>
    <t>Stark, AA (corresponding author), Smithsonian Astrophys Observ, 60 Garden St MS 12, Cambridge, MA 02138 USA.</t>
  </si>
  <si>
    <t>WOS:000240768700277</t>
  </si>
  <si>
    <t>Duldig, M</t>
  </si>
  <si>
    <t>Duldig, Marc</t>
  </si>
  <si>
    <t>Antarctic cosmic ray astronomy</t>
  </si>
  <si>
    <t>ANISOTROPIES</t>
  </si>
  <si>
    <t>Cosmic ray observations related to Antarctica commenced in the austral summer of 1947-48 from sub-Antarctic Heard and Macquarie Islands and from the HMAS Wyatt Earp. Muon telescope observations from Mawson station, Antarctica, followed from 1955. The International Geophysical Year was the impetus for the installation of a number of neutron monitors around Antarctica, observing the lowest energy cosmic rays accessible by ground based instruments. In 1971 a new observatory was built at Mawson including the only underground muon telescope system at polar latitudes in either hemisphere. Over more than half a century, cosmic ray astronomy has been undertaken from Antarctica and its surrounding regions and these observations have been critical to our growing understanding of the heliosphere.</t>
  </si>
  <si>
    <t>Duldig, M (corresponding author), Australian Antarctic Div, Channel Highway, Kingston, Tas 7050, Australia.</t>
  </si>
  <si>
    <t>WOS:000240768700278</t>
  </si>
  <si>
    <t>Halzen, F</t>
  </si>
  <si>
    <t>Halzen, Francis</t>
  </si>
  <si>
    <t>IceCube: A kilometer-scale neutrino observatory at the South pole</t>
  </si>
  <si>
    <t>Solving the century-old puzzle of how and where cosmic rays are accelerated mostly drives the design of high-energy neutrino telescopes. It calls, along with a diversity of science goals reaching particle physics, astrophysics and cosmology, for the construction of a kilometer-scale neutrino detector. This led to the IceCube concept to transform a kilometer cube of transparent Antarctic lee, one mile below the South Pole, into a neutrino telescope.</t>
  </si>
  <si>
    <t>Univ Wisconsin, Dept Phys, Madison, WI 53706 USA</t>
  </si>
  <si>
    <t>Halzen, F (corresponding author), Univ Wisconsin, Dept Phys, Madison, WI 53706 USA.</t>
  </si>
  <si>
    <t>WOS:000240768700279</t>
  </si>
  <si>
    <t>Sironi, G</t>
  </si>
  <si>
    <t>Sironi, Giorgio</t>
  </si>
  <si>
    <t>ACMSA: Antarctic centre for millimetre and sub-millimetre astrophysics</t>
  </si>
  <si>
    <t>A Working Group has been created to study the feasibility of ACMSA: Antarctic Center for Millimetric and Sub-millimetric Astrophysics, an international facility based at Dome Concordia (Dome C).</t>
  </si>
  <si>
    <t>Univ Milan, Dept Phys, Milan, Italy</t>
  </si>
  <si>
    <t>University of Milan</t>
  </si>
  <si>
    <t>Sironi, G (corresponding author), Univ Milan, Dept Phys, Milan, Italy.</t>
  </si>
  <si>
    <t>WOS:000240768700281</t>
  </si>
  <si>
    <t>The case for a 30m diameter submillimeter telescope on the Antarctic plateau</t>
  </si>
  <si>
    <t>GALAXY FORMATION; SOUTH-POLE</t>
  </si>
  <si>
    <t>A large single-dish submillimeter-wave telescope equipped with a focal plane array containing similar to 10(4) bolometers and costing about $120M could locate most protogalaxies in the southern sky within a year of operation.</t>
  </si>
  <si>
    <t>Smithsonian Institution; Smithsonian Astrophysical Observatory; Harvard University</t>
  </si>
  <si>
    <t>WOS:000240768700282</t>
  </si>
  <si>
    <t>Lawrence, JS</t>
  </si>
  <si>
    <t>Lawrence, J. S.</t>
  </si>
  <si>
    <t>Extremely large telescopes on the Antarctic plateau</t>
  </si>
  <si>
    <t>SOUTH-POLE</t>
  </si>
  <si>
    <t>The primary limitation to the performance of any large ground-based telescope is the atmospheric properties of its site, particularly the sky emission and the turbulence structure. There are several sites on the Antarctic plateau (South Pole, Dome C and Dome A) for which the increase in infrared sensitivity relative to a mid-latitude site should be as much as two orders of magnitude. The unique turbulent structure above Dome C indicates that an extremely large telescope equipped with only a natural guide star adaptive optics system should achieve equivalent resolution to a mid-latitude extremely large telescope with a multi-conjugate multi-laser guide star system.</t>
  </si>
  <si>
    <t>Lawrence, Jon/0000-0002-6998-6993</t>
  </si>
  <si>
    <t>WOS:000240768700283</t>
  </si>
  <si>
    <t>Lloyd, JP</t>
  </si>
  <si>
    <t>Lloyd, James P.</t>
  </si>
  <si>
    <t>Adaptive optics and interferometry on the Antarctic plateau</t>
  </si>
  <si>
    <t>The unique properties of atmospheric turbulence in atmosphere above the Antarctic plateau offer some compelling advantages for astronomical adaptive optics and interferometry. The shallow nature of the turbulent layer at the South Pole results in low scintillation and large angular coherence (Marks et al. 1996, 1999; Lloyd, Oppenheimer, &amp; Graham 2002; Lloyd et al. 2003). Recent wintertime SODAR measurements at Dome C indicate that similar conditions exist at Dome C, but that the turbulent layer is likely both weaker and shallower. This paper discusses the outcomes of such conditions on the atmospheric properties for astronomy. Particularly due to the low wind speed at Dome C, the atmospheric properties are highly favorable for adaptive optics and interferometry. The resulting long coherence time enables adaptive optics at visible wavelengths, and the large angular coherence results in a useful field of view as a result.</t>
  </si>
  <si>
    <t>CALTECH, Pasadena, CA 91125 USA</t>
  </si>
  <si>
    <t>California Institute of Technology</t>
  </si>
  <si>
    <t>Lloyd, JP (corresponding author), CALTECH, Pasadena, CA 91125 USA.</t>
  </si>
  <si>
    <t>Lloyd, James P/B-3769-2011</t>
  </si>
  <si>
    <t>WOS:000240768700285</t>
  </si>
  <si>
    <t>Swain, Mark R.</t>
  </si>
  <si>
    <t>The Antarctic Planet Interferometer</t>
  </si>
  <si>
    <t>The Antarctic Planet Interferometer (API) is a concept for an infrared interferometer located at the best accessible site on Earth. Infrared interferometry is strongly effected by both the strength and vertical distribution of thermal and water vapor turbulence. The combination of low temperature, low wind speed, low elevation turbulence, and low precipitable water vapor make the Concordia base at Antarctic Dome C the best accessible site on Earth for infrared interferometry. the improvements in interferometer sensitivity with respect to other terrestrial sites are dramatic; an interferometer with two meter class telescopes could make unique infrared measurements of extra solar planets that might otherwise only be possible with a space-based interferometer.</t>
  </si>
  <si>
    <t>Jet Propuls Lab, Pasadena, CA 91125 USA</t>
  </si>
  <si>
    <t>Swain, MR (corresponding author), Jet Propuls Lab, Pasadena, CA 91125 USA.</t>
  </si>
  <si>
    <t>WOS:000240768700286</t>
  </si>
  <si>
    <t>Walsh, W; Xiao, KC</t>
  </si>
  <si>
    <t>Walsh, Wilfred; Xiao, Kecheng</t>
  </si>
  <si>
    <t>An AST/RO survey of the coalsack</t>
  </si>
  <si>
    <t>Selected regions of the southern molecular cloud complex, the Coalsack are being imaged at sub-millimeter wavelengths using the Antarctic Sub-millimeter Telescope and Remote Observatory (AST/RO) located at the South Pole.</t>
  </si>
  <si>
    <t>Harvard Smithsonian Ctr Astrophys, Cambridge, MA 02138 USA</t>
  </si>
  <si>
    <t>Walsh, W (corresponding author), Harvard Smithsonian Ctr Astrophys, 60 Garden St,MS12, Cambridge, MA 02138 USA.</t>
  </si>
  <si>
    <t>WOS:000240768700288</t>
  </si>
  <si>
    <t>Sironi, G; Boella, G; Gervasi, M; Passerini, A; Tartari, A; Zannomi, M</t>
  </si>
  <si>
    <t>Sironi, G.; Boella, G.; Gervasi, M.; Passerini, A.; Tartari, A.; Zannomi, M.</t>
  </si>
  <si>
    <t>CMB observations from the Antarctic Plateau</t>
  </si>
  <si>
    <t>SOUTH CELESTIAL POLE; 33 GHZ; POLARIZATION; POLARIMETER; SIGNAL</t>
  </si>
  <si>
    <t>CMB studies from the Antarctic Plateau are presented.</t>
  </si>
  <si>
    <t>Univ Milano Bicocca, Dept Phys, Milan, Italy; IASF, CNR, Milan, Italy</t>
  </si>
  <si>
    <t>University of Milano-Bicocca; Consiglio Nazionale delle Ricerche (CNR)</t>
  </si>
  <si>
    <t>Sironi, G (corresponding author), Univ Milano Bicocca, Dept Phys, Milan, Italy.</t>
  </si>
  <si>
    <t>WOS:000240768700292</t>
  </si>
  <si>
    <t>Viotti, RF</t>
  </si>
  <si>
    <t>Viotti, Roberto F.</t>
  </si>
  <si>
    <t>TRT Team</t>
  </si>
  <si>
    <t>Compact wide-field astronomical telescopes for Dome C</t>
  </si>
  <si>
    <t>We describe our project for a small and compact telescope, based on the TRT design, for wide-field observations from Dome C on the Antarctic Plateau, and discuss the main scientific goals.</t>
  </si>
  <si>
    <t>Ist Astrofis Spaziale &amp; Fis Cosm, CNR, Tor Vergata Res Area, Rome, Italy</t>
  </si>
  <si>
    <t>Viotti, RF (corresponding author), Ist Astrofis Spaziale &amp; Fis Cosm, CNR, Tor Vergata Res Area, Via Fosso Cavaliere 100, Rome, Italy.</t>
  </si>
  <si>
    <t>WOS:000240768700295</t>
  </si>
  <si>
    <t>Ringstad, JE</t>
  </si>
  <si>
    <t>The shore whaling stations at south Georgia. A study in Antarctic industrial archaeology.</t>
  </si>
  <si>
    <t>HISTORISK TIDSSKRIFT</t>
  </si>
  <si>
    <t>Norwegian</t>
  </si>
  <si>
    <t>UNIVERSITETSFORLAGET A S</t>
  </si>
  <si>
    <t>OSLO</t>
  </si>
  <si>
    <t>POSTBOKS 508 SENTRUM, N-0105 OSLO, NORWAY</t>
  </si>
  <si>
    <t>0018-263X</t>
  </si>
  <si>
    <t>HIST TIDSSKR</t>
  </si>
  <si>
    <t>Hist. Tidsskr.</t>
  </si>
  <si>
    <t>974ME</t>
  </si>
  <si>
    <t>WOS:000232594900010</t>
  </si>
  <si>
    <t>Dormann, C; Fiset, JP; Caquard, S; Woods, B; Hadziomerovic, A; Whitworth, E; Hayes, A; Biddle, R</t>
  </si>
  <si>
    <t>Sloane, A</t>
  </si>
  <si>
    <t>Computer games as homework - How to delight and instruct</t>
  </si>
  <si>
    <t>HOME-ORIENTED INFORMATICS AND TELEMATICS, PROCEEDINGS</t>
  </si>
  <si>
    <t>International Federation for Information Processing</t>
  </si>
  <si>
    <t>Conference on Home-Oriented Informatics and Telematics (HOIT 2005)</t>
  </si>
  <si>
    <t>APR 13-15, 2005</t>
  </si>
  <si>
    <t>Univ York, York, ENGLAND</t>
  </si>
  <si>
    <t>Univ York</t>
  </si>
  <si>
    <t>computer games; education; entertainment; emotions</t>
  </si>
  <si>
    <t>SCIENCE; SCHOOL</t>
  </si>
  <si>
    <t>We are interested in exploring how entertainment in games can be combined with educational goals to make a compelling experience. In this paper we present our design study for the development of a mod game, Antarctic NWN. We first present the background for the game, objectives, and then discuss the gameplay of Antarctic NWN. We then explore issues that influence the design of a gripping game. One important issue is the relation between reality, simulation and game word. Then we focus on enhancing emotional involvement. Emotion is especially relevant to role-play game as it draws players into the story, and supports aesthetic understanding. We also look more specifically at the role of humour in this context. Humour enhances learning as well as providing a more pleasurable experience. In OUT quest to understand how games can both delight and instruct, we review the environment in which our game might be played, within the classroom or as family entertainment and describe different scenarios of use.</t>
  </si>
  <si>
    <t>Carleton Univ, Ottawa, ON K1S 5B6, Canada</t>
  </si>
  <si>
    <t>Carleton University</t>
  </si>
  <si>
    <t>Hayes, Amos/0000-0003-0878-0868</t>
  </si>
  <si>
    <t>1571-5736</t>
  </si>
  <si>
    <t>0-387-25178-2</t>
  </si>
  <si>
    <t>INT FED INFO PROC</t>
  </si>
  <si>
    <t>Computer Science, Information Systems; Communication; Computer Science, Interdisciplinary Applications; Social Issues</t>
  </si>
  <si>
    <t>Conference Proceedings Citation Index - Science (CPCI-S); Conference Proceedings Citation Index - Social Science &amp; Humanities (CPCI-SSH)</t>
  </si>
  <si>
    <t>Computer Science; Communication; Social Issues</t>
  </si>
  <si>
    <t>BCD83</t>
  </si>
  <si>
    <t>WOS:000228779300018</t>
  </si>
  <si>
    <t>Dobrzyn, P; Keck, A; Tatur, A</t>
  </si>
  <si>
    <t>Sedimentation of chlorophylls in an Arctic fjord under freshwater discharge</t>
  </si>
  <si>
    <t>chlorophylls; sedimentation; zooplankton grazing; Spitsbergen</t>
  </si>
  <si>
    <t>PERFORMANCE LIQUID-CHROMATOGRAPHY; MARGINAL ICE-ZONE; VERTICAL FLUX; PIGMENT COMPOSITION; BIOGENIC MATTER; NORTHERN NORWAY; BARENTS SEA; PHYTOPLANKTON; SUMMER; OCEAN</t>
  </si>
  <si>
    <t>Sedimentation of chlorophylls was studied during summer 1997 in Adventfjorden (Spitsbergen, Arctic). During the period of study, the water column was found to be well stratified by a freshened surface layer (salinity &lt;31 PSS). A high load of suspended particulate matter from riverine discharge reduced the euphotic zone to an interval of 0.4-1.1 mn. Total particulate matter sedimentation rates were about twice as high in June as in July. The following chlorophylls were distinguished in the sedimented particles: ch1 a and its degradation products (allomer ch1 a, phaeophytin a, phaeophorbide a, chlorophyllide a), ch1 b and ch1 c(1) + c(2). The quantitatively most important derivative of ch1 a was phaeophorbide a (31-41% of porphyrin a). Generally, the sedimentation rate of chlorophylls increased with depth. Linear relationships between concentrations of ch1 a and phaeophorbide a (r(2) = 0.92), as well as between concentrations of ch1 a and phaeophytin a (r(2) = 0.90) indicated a strong connection between phytoplankton abundance and zooplankton grazing. The significant correlation between ch1 a and chlorophyllide a concentrations (r(2) = 0.82) showed that most of the sinking ch1 a belonged primarily to diatoms, and low chlorophyllide a:ch1 a ratio (similar to0.03) indicated that cellular senescence was not an important reason for the sinking of ch1 a. Moreover, very low ch1 b:ch1 a ratios (about 0.05 calculated for samples where ch1 b was detectable) suggest that contributions of green algae and/or higher plant detritus were negligible in sinking particles. The ratio of ch1 c,(1)+ c(2):ch1a was 0.85 indicating that ch1 c-containing algae were dominating.</t>
  </si>
  <si>
    <t>Univ Bialystok, Inst Biol, PL-15950 Bialystok, Poland; Polish Acad Sci, Inst Oceanol, PL-81712 Sopot, Poland; Polish Acad Sci, Dept Antarctic Biol, PL-02141 Warsaw, Poland</t>
  </si>
  <si>
    <t>University of Bialystok; Polish Academy of Sciences; Institute of Oceanology of the Polish Academy of Sciences; Polish Academy of Sciences</t>
  </si>
  <si>
    <t>Dobrzyn, P (corresponding author), Univ Bialystok, Inst Biol, Swierkowa 20B, PL-15950 Bialystok, Poland.</t>
  </si>
  <si>
    <t>pdobrzyn@biochem.wisc.edu</t>
  </si>
  <si>
    <t>Dobrzyn, Pawel/R-4076-2016</t>
  </si>
  <si>
    <t>Dobrzyn, Pawel/0000-0002-2433-1897</t>
  </si>
  <si>
    <t>10.1007/s10750-004-6420-8</t>
  </si>
  <si>
    <t>896IW</t>
  </si>
  <si>
    <t>WOS:000226928800001</t>
  </si>
  <si>
    <t>Olbrechts, P</t>
  </si>
  <si>
    <t>Chen, H; Du, D; Li, W; Lu, C</t>
  </si>
  <si>
    <t>Results of the AMANDA detector</t>
  </si>
  <si>
    <t>ICHEP 2005: Proceedings of the 32nd International Conference High Energy Physics Vols 1 and 2</t>
  </si>
  <si>
    <t>32nd International Conference on High Energy Physics</t>
  </si>
  <si>
    <t>AUG 16-22, 2004</t>
  </si>
  <si>
    <t>Beijing, PEOPLES R CHINA</t>
  </si>
  <si>
    <t>NEUTRINOS</t>
  </si>
  <si>
    <t>The Antarctic Muon And Neutrino Detector Array (AMANDA) is a high-energy neutrino telescope based at the geographic South Pole. The primary goal of this detector is the observation of astronomical sources of high-energy neutrinos. This paper shows the latest results of the search for v(mu)s emitted from point sources and v(mu)s from dark matter annihilation in the Earth and the Sun.</t>
  </si>
  <si>
    <t>Free Univ Brussels, Dienst ELEM, B-1050 Brussels, Belgium</t>
  </si>
  <si>
    <t>Universite Libre de Bruxelles</t>
  </si>
  <si>
    <t>Olbrechts, P (corresponding author), Free Univ Brussels, Dienst ELEM, B-1050 Brussels, Belgium.</t>
  </si>
  <si>
    <t>PO BOX 128 FARRER RD, SINGAPORE 9128, SINGAPORE</t>
  </si>
  <si>
    <t>981-256-110-2</t>
  </si>
  <si>
    <t>BCP34</t>
  </si>
  <si>
    <t>WOS:000230511700066</t>
  </si>
  <si>
    <t>Macelloni, G; Pampaloni, P; Brogioni, M; Santi, E; Cagnati, A; Drinkwater, M</t>
  </si>
  <si>
    <t>DOMEX 2004: an experimental campaign at DOME-C Antarctica for the calibration of space-borne low-frequency microwave radiometers</t>
  </si>
  <si>
    <t>IGARSS 2005: IEEE International Geoscience and Remote Sensing Symposium, Vols 1-8, Proceedings</t>
  </si>
  <si>
    <t>IEEE International Symposium on Geoscience and Remote Sensing (IGARSS)</t>
  </si>
  <si>
    <t>25th IEEE International Geoscience and Remote Sensing Symposium (IGARSS 2005)</t>
  </si>
  <si>
    <t>JUL 25-29, 2005</t>
  </si>
  <si>
    <t>Seoul, SOUTH KOREA</t>
  </si>
  <si>
    <t>SMOS; microwave radiometer; Antarctic</t>
  </si>
  <si>
    <t>VALIDATION; EMISSION</t>
  </si>
  <si>
    <t>Satellite data are the most suitable tools for monitoring time and spatial variations of snow covered areas. At present, our knowledge of the microwave emission from the ice sheet at the lower frequencies is limited by the lack of satellite sensors and by our inadequate knowledge of the physical effects governing emission. On other hand, in addition to the interest related to climatic changes, and to glaciological and hydrological applications, there is growing interest, on the part of the remote sensing community, in using the Antarctic area, and in particular the plateau where the DOME-C base is located, for calibrating and validating data of satellite-borne microwave and optical radiometers. This is because the size, structure, spatial homogeneity and thermal stability of this area. With a view to the launching of the new low frequency space-borne sensors an experiment was carried out at Dome-6 under support of ESA. In this paper, the preparatory activities, the experimental campaign in Antarctica and the results obtained are presented.</t>
  </si>
  <si>
    <t>CNR, IFAC, Florence, Italy</t>
  </si>
  <si>
    <t>Consiglio Nazionale delle Ricerche (CNR); Istituto di Fisica Applicata Nello Carrara (IFAC-CNR)</t>
  </si>
  <si>
    <t>Macelloni, G (corresponding author), CNR, IFAC, Florence, Italy.</t>
  </si>
  <si>
    <t>Brogioni, Marco/Q-6583-2019; Macelloni, Giovanni/B-7518-2015; Brogioni, Marco/B-7522-2015; Santi, Emanuele/A-7755-2013; Drinkwater, Mark/C-2478-2011</t>
  </si>
  <si>
    <t>Brogioni, Marco/0000-0001-6232-6020; Brogioni, Marco/0000-0001-6232-6020; Santi, Emanuele/0000-0003-1882-6321; Drinkwater, Mark/0000-0002-9250-3806; MACELLONI, GIOVANNI/0000-0002-9738-7939</t>
  </si>
  <si>
    <t>0-7803-9050-4</t>
  </si>
  <si>
    <t>INT GEOSCI REMOTE SE</t>
  </si>
  <si>
    <t>Geosciences, Multidisciplinary; Remote Sensing</t>
  </si>
  <si>
    <t>Geology; Remote Sensing</t>
  </si>
  <si>
    <t>BEG75</t>
  </si>
  <si>
    <t>WOS:000237237602112</t>
  </si>
  <si>
    <t>Ohshima, KI; Nihashi, S; Tamura, T</t>
  </si>
  <si>
    <t>Detection of coastal polynyas and ice production in the Antarctic and Okhotsk Seas from SSM/I</t>
  </si>
  <si>
    <t>IGARSS 2005: IEEE INTERNATIONAL GEOSCIENCE AND REMOTE SENSING SYMPOSIUM, VOLS 1-8, PROCEEDINGS</t>
  </si>
  <si>
    <t>IEEE International Symposium on Geoscience and Remote Sensing IGARSS</t>
  </si>
  <si>
    <t>component; SSM/I; coastal polynya; sea ice; fast ice</t>
  </si>
  <si>
    <t>SATELLITE DATA; THICKNESS; IMAGERY</t>
  </si>
  <si>
    <t>An algorithm of Special Sensor Microwave/Imager that detects,I new thin ice, ice shelf, and landfast ice has been developed. The algorithm, in which 37 and 85 GRz brightness temperature data are used, was made by comparison with the ice thickness estimation from AVHRR data. Using thin ice thickness distribution derived from this new algorithm and ERA-40 surface input data, beat flux calculation is performed on I daily basis in 1992-2001 over the coastal polynyas in the Antarctic and Okhotsk Seas. The highest ice production area in the Antarctica ocean is the Ross Ice Shelf Polynya, which is consistent with the production area of Antarctic Bottom Water with the highest salinity. The highest ice production area in the Okhotsk Sell is the northwest shelf polynya, which is considered to be the main formation area of dense shelf water, the ventilation source of North Pacific Intermediate Water.</t>
  </si>
  <si>
    <t>Hokkaido Univ, Inst Low Temp Sci, Sapporo, Hokkaido, Japan</t>
  </si>
  <si>
    <t>Hokkaido Univ, Inst Low Temp Sci, Sapporo, Hokkaido, Japan.</t>
  </si>
  <si>
    <t>ohsima@lowtem.hokudai.ac.jp; tamutake@lowtem.hokudai.ac.jp</t>
  </si>
  <si>
    <t>2153-6996</t>
  </si>
  <si>
    <t>WOS:000237237603109</t>
  </si>
  <si>
    <t>Baek, S; Shum, CK; Lee, HL; Yi, YC; Kwoun, OI; Lu, Z; Braun, A</t>
  </si>
  <si>
    <t>DEM. tide and velocity over Sulzberger ice shelf, West Antarctica</t>
  </si>
  <si>
    <t>SYNTHETIC APERTURE RADARS</t>
  </si>
  <si>
    <t>Arctic and Antarctic ice sheets preserve more than 77% of the global fresh water and Could raise global sea level by several meters if completely melted. Ocean tides near and under ice shelves shifts the grounding line position siginficantly and are one of current limitations to study glacier dynamics and mass balance. The Sulzberger ice shelf is all area of ice mass flux change in West Antarctica and has not yet been well studied. In this study, we use repeat-pass synthetic aperture radar (SAR) interferometry data from file ERS-1 and ERS-2 tandem missions for generation of a high-resolution (60-m) Digital Elevation Model (DEM) including tidal deformation detection and ice stream velocity of the Sulzberger Ice Shelf. Other satellite data such as laser altimeter measurements with fine foot-prints (70-m) from NASA's ICESat are used for validation and analyses. The resulting DEM has all accuracy of -0.57 +/- 5.88 in and is demonstrated to be useful for grounding line detection and ice mass balance Studies. The deformation observed by InSAR is found to be primarily due to ocean tides and atmospheric pressure. The 2-D ice stream Velocities computated agree qualitatively with previous methods oil part of the Ice Shelf from passive microwave remote-sensing data (i.e.. LANDSAT).</t>
  </si>
  <si>
    <t>Ohio State Univ, Lab Space Geodesy &amp; Remote Sensing, Columbus, OH 43210 USA</t>
  </si>
  <si>
    <t>University System of Ohio; Ohio State University</t>
  </si>
  <si>
    <t>Baek, S (corresponding author), Ohio State Univ, Lab Space Geodesy &amp; Remote Sensing, Columbus, OH 43210 USA.</t>
  </si>
  <si>
    <t>Shum, C K/0000-0001-9378-4067; Lee, Hyongki/0000-0001-6478-7533</t>
  </si>
  <si>
    <t>WOS:000237237603128</t>
  </si>
  <si>
    <t>Nishio, F; Comiso, JC</t>
  </si>
  <si>
    <t>The polar sea ice cover from aqua/AMSR-E</t>
  </si>
  <si>
    <t>AMSR-E; SSM/I; MODSI; sea ice extent; ice edge</t>
  </si>
  <si>
    <t>Historical satellite data reveal that among the most remarkable manifestations of changes in the polar regions are the relatively rapid decline of 9 %/decade in the Arctic perennial ice cover and the 7 %/decade retreat in the Bellingshaussen/Amundsen Seas ice cover in the Antarctic. The launch of the Advanced Multichannel Scanning Radiometer (AMSR-E) on board the EOS-Aqua satellite in 2002 has enabled the study the of the polar ice cover in greater detail and the evaluation of accuracy and consistency of historical satellite data. The AMSR-E system has higher resolution and larger spectral range thereby providing ability to better assess the spatial distribution of different ice types in the marginal ice zones, the sizes and characteristics of sensible and latent heat polynyas, and the extent of ridging and divergence within the ice pack. Comparative analysis reveals that the sea ice data derived from AMSR-E are coherent and consistent with Moderate Resolution Imaging Spectro radiometer (MODIS) data on board the same satellite, especially when the 5-km resolution 89 GHz data are used. During the periods of overlapping coverage, the AMSR-E data are also shown to provide basically the same spatial and temporal variability as those from the Special Scanning Microwave Imager (SSM/I) which has been the key source of sea ice data since 1987. Quantitative comparative studies using AMSR-E and SSM/I data also reveal a clear indication of the advantage of the former in consistently identifying the 10-15% ice edge and in quantifying the regional and global sea ice extents. This is reflected in the calculation for the trend in ice extent when AMSR-E data is used instead of SSM/I data. However, the difference is within error and the estimate for the trend in ice area is in good agreement.</t>
  </si>
  <si>
    <t>Chiba Univ, Ctr Environm Remote Sensing, Inage Ku, Chiba 2638522, Japan</t>
  </si>
  <si>
    <t>Chiba University</t>
  </si>
  <si>
    <t>Nishio, F (corresponding author), Chiba Univ, Ctr Environm Remote Sensing, Inage Ku, 1-33 Yayoi Cho, Chiba 2638522, Japan.</t>
  </si>
  <si>
    <t>WOS:000237237606108</t>
  </si>
  <si>
    <t>Li, YH; Davis, CH</t>
  </si>
  <si>
    <t>An improved autoregressive model for analysis of decadal elevation change time series over Antarctica</t>
  </si>
  <si>
    <t>satellite radar altimetry; elevation change; time series; autoregressive model; ice sheets</t>
  </si>
  <si>
    <t>ICE-SHEET</t>
  </si>
  <si>
    <t>Here we present an improved autoregressive (AR) approach that, in addition to characterizing seasonal and interannual variations, can model non-linear medium-period variations in decadal ERS-1/2 Antarctic elevation change time series (ECTS). This approach avoids over decomposition by adopting an iterative local average filter to estimate non-linear medium-period trends. The estimation of missing data points is improved by using the maximum number of available data points in the construction of the optimum ECTS model. Also, the nonlinear trends are extracted by weighting the ECTS by the standard error at each time series point. Monte Carlo simulations show that the mean square error from the improved AR model is about 5-10 cm(2) for the estimated non-linear trends vs. known non-linear trends. For ECTS with non-linear and linear trends, the bias of the improved AR model and its standard deviation are smaller than those from our previous AR method. Because of these characteristics, the improved AR model is able to adequately characterize decadal ECTS and extract their features with very small error. This translates to more accurate estimates of long-term ECTS trends that can be used to estimate ice sheet contributions to global sea-level change.</t>
  </si>
  <si>
    <t>Univ Missouri, Columbia, MO 65211 USA</t>
  </si>
  <si>
    <t>University of Missouri System; University of Missouri Columbia</t>
  </si>
  <si>
    <t>Li, YH (corresponding author), Univ Missouri, Columbia, MO 65211 USA.</t>
  </si>
  <si>
    <t>WOS:000237237606167</t>
  </si>
  <si>
    <t>Cheng, XA; Zhang, YM</t>
  </si>
  <si>
    <t>Glacier velocity measurements using differential interferometric SAR in Antarctic Grove Mountain</t>
  </si>
  <si>
    <t>glacier; ice flow; synthetic aperture radar (SAR); differential SAR interferometry (D-INSAR)</t>
  </si>
  <si>
    <t>ICE-SHEET MOTION; RADAR INTERFEROMETRY; SURFACE VELOCITY</t>
  </si>
  <si>
    <t>SAR interferometry proves to be the most effective method to measure the glacier velocity. However till now, most of the D-INSAR ice flow research focus on Arctic and Antarctic costal ice shelf, where the ice flow concentrate between ridges and the pattern of fringe is simple and transparent. Grove Mountain is a newly-found meteorites trap where the ice flow is quite complicated for the presence of outcrops and subglacial peaks. Two ERS and two JERS-1 synthetic aperture radar (SAR) interferometric data acquired in 1996 are used. ERS-1/2 tandem image pair is used to generate the DEM, while a JERS-1 pair with 44 days apart was combined for 4-pass differential INSAR to get the ice flow information. The overall visibility and continuity of the fringe from the JERS-1 pair is quite good.</t>
  </si>
  <si>
    <t>CAS, State Key Lab Remote Sensing Sci, Inst Remote Sensing Applicat, Beijing 100101, Peoples R China</t>
  </si>
  <si>
    <t>Chinese Academy of Sciences</t>
  </si>
  <si>
    <t>Cheng, XA (corresponding author), CAS, State Key Lab Remote Sensing Sci, Inst Remote Sensing Applicat, Beijing 100101, Peoples R China.</t>
  </si>
  <si>
    <t>WOS:000237237606172</t>
  </si>
  <si>
    <t>Detecting ice motion with repeat-pass ENVISAT ASAR interferometry over nunataks region in Grove Mountain, east Antarctic - The preliminary result</t>
  </si>
  <si>
    <t>ice flow; SAR interferometry (INSAR); ASAR; glacier; Antarctica</t>
  </si>
  <si>
    <t>SATELLITE RADAR INTERFEROMETRY; SHEET MOTION; GREENLAND; GLACIER</t>
  </si>
  <si>
    <t>The ability of detecting small look-of-sight deformation remotely and precisely makes repeat-pass SAR interferometry an effective means for detecting ice flow over polar ice sheet. INSAR measurements based on ERS-1/2 SAR images have revealed various ice motions on ice sheet in Arctic and Antarctica. The latest and advanced SAR sensor is the ASAR sensor carried onboard the ENVISAT satellite launched in early 2002. Few interferometric applications of ASAR are reported till present, even fewer on polar ice sheet. In this paper, a successive ASAR image pair is selected for interferometry to calculate the first interferogram on Antarctic inland glacier, which consists of both topography and ice flow information. The interferograms of the same area generated from ERS-1/2 and JERS-1 images acquired in 1996 were introduced for analysis. The comparisons indicate that ENVISAT ASAR data is of fine quality in INSAR application over ice sheet and the existing two ice flow subsystems among nunataks area of Grove Mountain are relatively stable.</t>
  </si>
  <si>
    <t>CAS, Inst Remote Sensing Applicat, State Key Lab Remote Sensing Sci, Beijing 100101, Peoples R China</t>
  </si>
  <si>
    <t>Cheng, XA (corresponding author), CAS, Inst Remote Sensing Applicat, State Key Lab Remote Sensing Sci, Beijing 100101, Peoples R China.</t>
  </si>
  <si>
    <t>WOS:000237237606176</t>
  </si>
  <si>
    <t>Yamanokuchi, T; Doi, K; Shibuya, K</t>
  </si>
  <si>
    <t>Extracted grounding line of the Antarctic ice sheet from ERS-1/2 interferometric SAR data</t>
  </si>
  <si>
    <t>component; InSAR; grounding line; ADD; ERS-1</t>
  </si>
  <si>
    <t>In this study we applied SAR Interferometry (InSAR) technique to extract grounding line for the Antarctic marginal ice zone from 25 degrees W to 40 degrees E using ERS-1/ERS-2 tandem data. Grounding line derived from interferograms were compared with the conventional ones which are catalogued in the Antarctic Digital Database (ADD). The InSAR-derived grounding lines delineated detailed features, while those from the ADD were monotonous due to blurred characteristics of the original Landsat optical images. The InSAR-derived grounding lines clearly highlighted small islands which were buried in the surrounding ice shelves in case of the ADD.</t>
  </si>
  <si>
    <t>Remote Sensing Technol Ctr Japan, Dept Polar Sci, Minato Ku, Tokyo, Japan</t>
  </si>
  <si>
    <t>Yamanokuchi, T (corresponding author), Remote Sensing Technol Ctr Japan, Dept Polar Sci, Minato Ku, SOKENDAI Roppongi 1st Bldg,12F,1-9-9,Roppongi, Tokyo, Japan.</t>
  </si>
  <si>
    <t>WOS:000237237606177</t>
  </si>
  <si>
    <t>Liu, HX; Wang, L; Jezek, KC</t>
  </si>
  <si>
    <t>Delineation of dry and melt snow zones in Antarctica using microwave remote sensing data</t>
  </si>
  <si>
    <t>snow zones; SAR; passive micronuve; Antarctica</t>
  </si>
  <si>
    <t>This paper presents the analysis results for delineating snow zones in Antarctica using active and passive microwave satellite remote sensing data. With a high-resolution Radarsat SAR image mosaic, we have successfully delineated dry snow zones, percolation zones, wet snow zones, and blue ice patches for the Antarctic continent. With the daily passive microwave SSM/I data, we derived dry and melt snow zones. The analysis results respectively derived from the SSM/I and the Radarsat SAR data were compared and correlated. We demonstrated the complimentary nature and comparative advantages of frequently repeated passive microwave data and spatially detailed radar imagery for detecting and characterizing snow zones.</t>
  </si>
  <si>
    <t>Texas A&amp;M Univ, Dept Geog, College Stn, TX 77843 USA</t>
  </si>
  <si>
    <t>Liu, HX (corresponding author), Texas A&amp;M Univ, Dept Geog, College Stn, TX 77843 USA.</t>
  </si>
  <si>
    <t>WOS:000237237607036</t>
  </si>
  <si>
    <t>Thorne, RM; Horne, RB; Glauert, S; Meredith, NP; Shprits, YY; Summers, D; Anderson, RR</t>
  </si>
  <si>
    <t>Burch, J; Schulz, M; Spence, H</t>
  </si>
  <si>
    <t>Thorne, Richard M.; Horne, Richard B.; Glauert, Sarah; Meredith, Nigel P.; Shprits, Yuri Y.; Summers, Danny; Anderson, Roger R.</t>
  </si>
  <si>
    <t>The Influence of Wave-Particle Interactions on Relativistic Electron Dynamics During Storms</t>
  </si>
  <si>
    <t>INNER MAGNETOSPHERE INTERACTIONS: NEW PERSPECTIVES FROM IMAGING</t>
  </si>
  <si>
    <t>Geophysical Monograph Book Series</t>
  </si>
  <si>
    <t>ION-CYCLOTRON WAVES; PITCH-ANGLE DIFFUSION; RADIATION BELT ELECTRONS; WHISTLER-MODE CHORUS; OUTER-ZONE ELECTRONS; MAGNETIC STORM; GEOMAGNETIC STORMS; RESONANT DIFFUSION; PLASMASPHERIC HISS; EMIC WAVES</t>
  </si>
  <si>
    <t>Wave-particle interactions play a fundamental role in the non-adiabatic dynamics of energetic electrons. Plasma waves responsible for such interactions are substantially enhanced during storms, causing rapid pitch-angle scattering (and ultimate loss to the atmosphere) and energy transfer from low to high energies (leading to a hardening of the high-energy tail population). Several wave modes, including electromagnetic ion cyclotron waves and whistler-mode waves, contribute to pitch-angle scattering loss on timescales comparable to a day. Local electron acceleration to relativistic energies is prevalent during the storm recovery, due to interactions with intense whistler-mode chorus emissions outside the plasmapause. Codes have recently been developed to evaluate rates of diffusion in pitch-angle and energy. However, these diffusion rates have yet to be integrated into multi-dimensional diffusion codes, to quantify the role of each wave mode in radiation belt variability during storms. A major obstacle to developing accurate models for radiation belt dynamics is the limited observational data on the power spectral density of each important wave.</t>
  </si>
  <si>
    <t>[Thorne, Richard M.; Shprits, Yuri Y.] Univ Calif Los Angeles, Dept Atmospher &amp; Ocean Sci, Los Angeles, CA 90095 USA; [Horne, Richard B.; Glauert, Sarah] British Antarctic Survey, Nat Environm Res Council, Cambridge CB3 0ET, England; [Meredith, Nigel P.] Univ Coll London, Mullard Space Sci Lab, Dorking RH5 6NT, Surrey, England; [Summers, Danny] Mem Univ Newfoundland, Dept Math &amp; Stat, St John, NF A1C 5S7, Canada; [Anderson, Roger R.] Univ Iowa, Dept Phys &amp; Astron, Iowa City, IA 52242 USA</t>
  </si>
  <si>
    <t>University of California System; University of California Los Angeles; UK Research &amp; Innovation (UKRI); Natural Environment Research Council (NERC); NERC British Antarctic Survey; University of London; University College London; Memorial University Newfoundland; University of Iowa</t>
  </si>
  <si>
    <t>Thorne, RM (corresponding author), Univ Calif Los Angeles, Dept Atmospher &amp; Ocean Sci, 7121 MS,Box 951565, Los Angeles, CA 90095 USA.</t>
  </si>
  <si>
    <t>Horne, Richard B/U-3764-2019; Shprits, Yuri Y/I-2174-2014</t>
  </si>
  <si>
    <t>Horne, Richard B/0000-0002-0412-6407; Meredith, Nigel/0000-0001-5032-3463; Shprits, Yuri/0000-0002-9625-0834</t>
  </si>
  <si>
    <t>0065-8448</t>
  </si>
  <si>
    <t>978-0-87590-424-5</t>
  </si>
  <si>
    <t>GEOPHYS MONOGR SER</t>
  </si>
  <si>
    <t>10.1029/159GM07</t>
  </si>
  <si>
    <t>10.1029/GM159</t>
  </si>
  <si>
    <t>Astronomy &amp; Astrophysics; Geochemistry &amp; Geophysics; Remote Sensing</t>
  </si>
  <si>
    <t>BSJ68</t>
  </si>
  <si>
    <t>WOS:000284726400006</t>
  </si>
  <si>
    <t>Held, BW; Jurgens, JA; Arenz, BE; Duncan, SM; Farrell, RL; Blanchette, RA</t>
  </si>
  <si>
    <t>Environmental factors influencing microbial growth inside the historic expedition huts of Ross Island, Antarctica</t>
  </si>
  <si>
    <t>INTERNATIONAL BIODETERIORATION &amp; BIODEGRADATION</t>
  </si>
  <si>
    <t>Antarctica; historic huts; relative humidity; temperature; fungi</t>
  </si>
  <si>
    <t>MOISTURE REQUIREMENTS; FUNGI; WOOD</t>
  </si>
  <si>
    <t>Explorers to Antarctica during the Heroic Era of exploration built three wooden huts on Ross Island, Antarctica in 1902, 1908 and 1911. The structures were used as bases of operation while their occupants participated in scientific endeavors and strived to reach the South Pole. The huts, and the thousands of artifacts in and around them, have survived in the Antarctic environment for 9-10 decades, but deterioration has taken place. The successful preservation of these important historic structures and materials requires information on the agents causing deterioration and factors that influence microbial growth. Temperature and relative humidity (RH) were monitored in the expedition huts for several years. During the austral summer months of December and January it was common for temperatures to rise above 0degreesC and RH to exceed 80%. Extensive fungal growth was observed on wood and artifacts within the Cape Evans hut, and fungi isolated were identified as species of Cladosporiurn, Penicillium, Cadophora, Geomyces and Hormoneina. The factors that influence RH within the huts and methods to control moisture and arrest microbial growth are discussed. (C) 2004 Elsevier Ltd. All rights reserved.</t>
  </si>
  <si>
    <t>Univ Minnesota, Dept Plant Pathol, St Paul, MN 55108 USA; Univ Waikato, Dept Biol Sci, Hamilton, New Zealand</t>
  </si>
  <si>
    <t>University of Minnesota System; University of Minnesota Twin Cities; University of Waikato</t>
  </si>
  <si>
    <t>Held, BW (corresponding author), Univ Minnesota, Dept Plant Pathol, 495 Borlang Hall,1991 Upper Buford Circle, St Paul, MN 55108 USA.</t>
  </si>
  <si>
    <t>bheld@umn.edu</t>
  </si>
  <si>
    <t>Blanchette, Robert A./0000-0003-2819-6511</t>
  </si>
  <si>
    <t>0964-8305</t>
  </si>
  <si>
    <t>INT BIODETER BIODEGR</t>
  </si>
  <si>
    <t>Int. Biodeterior. Biodegrad.</t>
  </si>
  <si>
    <t>10.1016/j.ibiod.2004.06.011</t>
  </si>
  <si>
    <t>Biotechnology &amp; Applied Microbiology; Environmental Sciences</t>
  </si>
  <si>
    <t>Biotechnology &amp; Applied Microbiology; Environmental Sciences &amp; Ecology</t>
  </si>
  <si>
    <t>896QT</t>
  </si>
  <si>
    <t>WOS:000226949300007</t>
  </si>
  <si>
    <t>Mulder, KF</t>
  </si>
  <si>
    <t>Mulder, Karel F.</t>
  </si>
  <si>
    <t>Innovation by disaster: the ozone catastrophe as experiment of forced innovation</t>
  </si>
  <si>
    <t>INTERNATIONAL JOURNAL OF ENVIRONMENT AND SUSTAINABLE DEVELOPMENT</t>
  </si>
  <si>
    <t>innovation; technology forcing; technology steering; CFC; ozone hole</t>
  </si>
  <si>
    <t>In this paper, the process of adapting and replacing products and processes by new alternatives will be analysed. The paper will reflect upon effective means of stimulating environmental innovation by analysing the innovations that resulted from the ban on CFCs. The ozone hole catastrophe has been announced in two steps: first there was the land breaking paper of Rowland and Molina of 1974, which argued that CFCs destruct the ozone layer. As Rowland and Molina's paper was not based on any actual measurement of the ozone layer, there was much scope for debate whether this thinning of the ozone layer would actually occur. In 1985, Joe Farman claimed that there was a seasonal ozone hole over the Antarctic. Farman's paper triggered a new alert, leading to the Montreal protocol in 1987. The Montreal protocol (and the stricter amendments later) forced industries to innovate.</t>
  </si>
  <si>
    <t>[Mulder, Karel F.] Delft Univ Technol, Fac Technol Policy &amp; Management Technol Assessmen, Jaffalaan 5, NL-2628 RZ Delft, Netherlands</t>
  </si>
  <si>
    <t>Delft University of Technology</t>
  </si>
  <si>
    <t>Mulder, KF (corresponding author), Delft Univ Technol, Fac Technol Policy &amp; Management Technol Assessmen, Jaffalaan 5, NL-2628 RZ Delft, Netherlands.</t>
  </si>
  <si>
    <t>k.f.mulder@tbm.tudelft.nl</t>
  </si>
  <si>
    <t>Mulder, Karel/K-4068-2012</t>
  </si>
  <si>
    <t>Mulder, Karel/0000-0001-7015-2075</t>
  </si>
  <si>
    <t>INDERSCIENCE ENTERPRISES LTD</t>
  </si>
  <si>
    <t>GENEVA</t>
  </si>
  <si>
    <t>WORLD TRADE CENTER BLDG, 29 ROUTE DE PRE-BOIS, CASE POSTALE 856, CH-1215 GENEVA, SWITZERLAND</t>
  </si>
  <si>
    <t>1474-6778</t>
  </si>
  <si>
    <t>1478-7466</t>
  </si>
  <si>
    <t>INT J ENVIRON SUSTAI</t>
  </si>
  <si>
    <t>Int. J. Environ. Sustain. Dev.</t>
  </si>
  <si>
    <t>10.1504/IJESD.2005.006776</t>
  </si>
  <si>
    <t>Environmental Studies</t>
  </si>
  <si>
    <t>VD2PQ</t>
  </si>
  <si>
    <t>WOS:000436501900008</t>
  </si>
  <si>
    <t>Yi, H; Yoon, HI; Chun, J</t>
  </si>
  <si>
    <t>Sejongia antarctica gen. nov., sp nov and Sejongia jeonii sp nov., isolated from the Antarctic</t>
  </si>
  <si>
    <t>PHYLOGENETIC TREES; MARINE-BACTERIA; COMB-NOV; NOCARDIA; WATER</t>
  </si>
  <si>
    <t>Two yellow-pigmented, Gram-negative and aerobic bacterial strains, designated AT1013(T) and AT1047(T), were isolated from terrestrial samples of the Antarctic. On the basis of 16S rRNA gene sequence analyses, the two Antarctic strains shared 97(.)7% sequence similarity and showed moderate relationships to the genera Chryseobacterium (92(.)5-95(.)3%), Riemerella (92(.)3-93(.)5%), Bergeyella (92(.)5-92(.)6%) and Kaistella (92(.)5-93(.)3%). In phylogenetic analyses, the two isolates formed a robust monophyletic clade and represented a distinct phyletic line that equated to novel generic status, Cells were non-motile, non-gliding and psychrotolerant with an optimum growth temperature of about 20 degreesC. Flexirubins were absent. The major isoprenoid quinone was MK-6. The predominant cellular fatty acids WE, re 15:0 iso, 15:0 anteiso and 17:1 iso omega9c. DNA G+C contents were 34-36 mol%. The two isolates shared low genomic relatedness (27%) and were differentiated from each other by several phenotypic characteristics. The polyphasic data presented in this study indicated that these isolates should be recognized as two separate novel species in a novel genus within the family Flavobacteriaceae. The name Sejongia gen. nov. is therefore proposed for the Antarctic T isolates, with the type species Sejongia antarctica sp. nov. (type strain AT1013(T) = IMSNU 14040(T) = KCTC 12225(T) = JCM 12381(T)) and Sejongia jeonii sp. nov. (type strain AT1047(T) = IMSNU 14049(T) = KCTC 12226(T) = JCM 12382(T)).</t>
  </si>
  <si>
    <t>Seoul Natl Univ, Sch Biol Sci, Seoul 151742, South Korea; Korea Ocean Res &amp; Dev Inst, Polar Res Inst, Seoul 425600, South Korea</t>
  </si>
  <si>
    <t>10.1099/ijs.0.63273-0</t>
  </si>
  <si>
    <t>892DD</t>
  </si>
  <si>
    <t>WOS:000226629100065</t>
  </si>
  <si>
    <t>Paltridge, GW</t>
  </si>
  <si>
    <t>Ragaini, R</t>
  </si>
  <si>
    <t>Old physics for new climate models - Maybe</t>
  </si>
  <si>
    <t>International Seminar on Nuclear War and Planetary Emergencies - 32nd Session</t>
  </si>
  <si>
    <t>SCIENCE AND CULTURE SERIES: NUCLEAR STRATEGY AND PEACE TECHNOLOGY</t>
  </si>
  <si>
    <t>32nd International Seminar on Nuclear Ware and Planetary Emergencies</t>
  </si>
  <si>
    <t>AUG 19-24, 2004</t>
  </si>
  <si>
    <t>Erice, ITALY</t>
  </si>
  <si>
    <t>On the one hand we look at the possibility that positive feed-back within the earth-atmosphere climate system is great enough to generate an oscillating climate whose long-term behaviour is more-or-less independent of such things as enhanced greenhouse global warming. On the other we look at the possibility of applying a principle of maximum entropy production to calculate the sub-grid-scale turbulent diffusion coefficients of climate models, and thereby perhaps bypass the need for ever more detailed model resolution. Examination of either possibility requires a sizeable change in the way modem numerical climate models are handled.</t>
  </si>
  <si>
    <t>981-256-385-7</t>
  </si>
  <si>
    <t>SCI CULT NUCL STRAT</t>
  </si>
  <si>
    <t>10.1142/9789812701787_0011</t>
  </si>
  <si>
    <t>Environmental Studies; Public, Environmental &amp; Occupational Health; Multidisciplinary Sciences; Social Issues</t>
  </si>
  <si>
    <t>Environmental Sciences &amp; Ecology; Public, Environmental &amp; Occupational Health; Science &amp; Technology - Other Topics; Social Issues</t>
  </si>
  <si>
    <t>BDC14</t>
  </si>
  <si>
    <t>WOS:000232581200011</t>
  </si>
  <si>
    <t>Ituarte, C; Cremonte, F; Zelaya, DG</t>
  </si>
  <si>
    <t>Parasite-mediated shell alterations in Recent and Holocene sub-Antarctic bivalves: the parasite as modeler of host reaction</t>
  </si>
  <si>
    <t>INVERTEBRATE BIOLOGY</t>
  </si>
  <si>
    <t>digenean larvae; shell-mantle reactions; bivalves; fossil traces</t>
  </si>
  <si>
    <t>BARTOLIUS-PIERREI; LIFE-CYCLE; GYMNOPHALLIDAE; METACERCARIAE; DIGENEA; MORPHOLOGY; ARGENTINA; FOSSIL</t>
  </si>
  <si>
    <t>New data on shell reactions elicited by larval digeneans in bivalves from Recent sub-Antarctic populations and late Holocene Patagonian deposits are reported. Shell alterations, which are traces of digenean trematode infections, were found affecting intertidal bivalve populations from Malvinas (Falkland) Islands, Burdwood Bank, Beagle Channel, and from Holocene deposits at Tierra del Fuego (Argentina). The bivalve species involved belonged to the families Nuculanidae, Cyamiidae, and Neoleptonidae. Such reactions consisted of quite unusual dome or igloo-shaped calcifications on the inner shell surface; the similarities and uniqueness of this reaction in different bivalve species reported here suggest that the invasive agent is the same. Based on previous findings of morphologically identical shell alterations in Gaimardia trapesina (Bivalvia, Gaimardiidae) from Magellanic and sub-Antarctic waters, it is suggested that the parasites responsible for the traces reported here belong to a digenean platyhelminth species of the Gymnophallidae genus Bartolius. The host bivalves reported here belong to three different superfamilies, and share a similar crystalline shell microstructure: aragonite with homogeneous structure. After a review of the available information dealing with bivalve shell-mantle reactions against digeneans, it is hypothesized that parasites are responsible for the modeling of the host response they elicit. However, although the specific characteristics of the reaction depend on the parasite, they would probably be constrained by some characteristics of the host shell structure.</t>
  </si>
  <si>
    <t>Museo La Plata, Div Zool Invertebrados, RA-1900 La Plata, Buenos Aires, Argentina; Consejo Nacl Invest Cient &amp; Tecn, Ctr Nacl Patagonico, RA-9120 Puerto Madryn, Chubut, Argentina</t>
  </si>
  <si>
    <t>National University of La Plata; Museo La Plata; Centro Nacional Patagonico (CENPAT); Consejo Nacional de Investigaciones Cientificas y Tecnicas (CONICET)</t>
  </si>
  <si>
    <t>Ituarte, C (corresponding author), Museo La Plata, Div Zool Invertebrados, RA-1900 La Plata, Buenos Aires, Argentina.</t>
  </si>
  <si>
    <t>cituarte@fcnym.unlp.edu.ar</t>
  </si>
  <si>
    <t>Cremonte, Florencia/0000-0003-1747-9305</t>
  </si>
  <si>
    <t>1077-8306</t>
  </si>
  <si>
    <t>1744-7410</t>
  </si>
  <si>
    <t>INVERTEBR BIOL</t>
  </si>
  <si>
    <t>Invertebr. Biol.</t>
  </si>
  <si>
    <t>10.1111/j.1744-7410.2005.00021.x</t>
  </si>
  <si>
    <t>961NC</t>
  </si>
  <si>
    <t>WOS:000231668100004</t>
  </si>
  <si>
    <t>Walker, CK; Kulesa, CA</t>
  </si>
  <si>
    <t>Terahertz astronomy from the coldest place on earth</t>
  </si>
  <si>
    <t>IRMMW-THz2005: The Joint 30th International Conference on Infrared and Millimeter Waves and 13th International Conference on Terahertz Electronics, Vols 1 and 2</t>
  </si>
  <si>
    <t>Joint 30th International Conference on Infrared and Millimeter Waves/13th International Conference on Terahertz Electronics</t>
  </si>
  <si>
    <t>SEP 19-23, 2005</t>
  </si>
  <si>
    <t>Williamsburg, VA</t>
  </si>
  <si>
    <t>TELESCOPE</t>
  </si>
  <si>
    <t>Many atoms and molecules have emission lines that occur at THz frequencies. These emission lines can be used to probe the conditions in Giant Molecular Clouds (GMCs) throughout our galaxy. From studying the star formation process in GMCs we will gain a better understanding of the origin of planetary systems like our own. The high Antarctic plateau offers unique opportunities for observatories optimized for this important wavelength regime.</t>
  </si>
  <si>
    <t>Univ Arizona, Steward Observ, Tucson, AZ 85721 USA</t>
  </si>
  <si>
    <t>University of Arizona</t>
  </si>
  <si>
    <t>Walker, CK (corresponding author), Univ Arizona, Steward Observ, 933 N Cherry Ave, Tucson, AZ 85721 USA.</t>
  </si>
  <si>
    <t>0-7803-9348-1</t>
  </si>
  <si>
    <t>Engineering, Electrical &amp; Electronic; Instruments &amp; Instrumentation; Optics; Physics, Condensed Matter; Spectroscopy</t>
  </si>
  <si>
    <t>Engineering; Instruments &amp; Instrumentation; Optics; Physics; Spectroscopy</t>
  </si>
  <si>
    <t>BEF94</t>
  </si>
  <si>
    <t>WOS:000237170000002</t>
  </si>
  <si>
    <t>Dastidar, PG; Persson, O</t>
  </si>
  <si>
    <t>Ingwersen, P; Larsen, B</t>
  </si>
  <si>
    <t>Mapping the global structure of Antarctica Researchvis-a-vis Antarctic Treaty System (ATS)</t>
  </si>
  <si>
    <t>ISSI 2005: Proceedings of the 10th International Conference of the International Society for Scientometrics and Informetrics, Vols 1 and 2</t>
  </si>
  <si>
    <t>10th International Conference of the International-Society-for-Scientometrics-and-Informetrics</t>
  </si>
  <si>
    <t>JUL 24-28, 2005</t>
  </si>
  <si>
    <t>Stockholm, SWEDEN</t>
  </si>
  <si>
    <t>Dept Ocean Dev, New Delhi 110003, India</t>
  </si>
  <si>
    <t>Dastidar, Prabir G/A-4803-2014</t>
  </si>
  <si>
    <t>Dastidar, Prabir G/0000-0001-5871-6261</t>
  </si>
  <si>
    <t>KAROLINSKA UNIV PRESS AB</t>
  </si>
  <si>
    <t>STOCKHOLM</t>
  </si>
  <si>
    <t>BOX 200, STOCKHOLM, SE-171 77, SWEDEN</t>
  </si>
  <si>
    <t>91-7140-339-6</t>
  </si>
  <si>
    <t>Computer Science, Information Systems; Information Science &amp; Library Science</t>
  </si>
  <si>
    <t>Computer Science; Information Science &amp; Library Science</t>
  </si>
  <si>
    <t>BDC93</t>
  </si>
  <si>
    <t>WOS:000232759800099</t>
  </si>
  <si>
    <t>Li, ZJ</t>
  </si>
  <si>
    <t>Wen, TD</t>
  </si>
  <si>
    <t>A new method of the monitoring of snow/ice growth and decay in the quasi-steady water areas</t>
  </si>
  <si>
    <t>ISTM/2005: 6th International Symposium on Test and Measurement, Vols 1-9, Conference Proceedings</t>
  </si>
  <si>
    <t>6th International Symposium on Test and Measurement (ISTM)</t>
  </si>
  <si>
    <t>JUN 01-04, 2005</t>
  </si>
  <si>
    <t>Dalian, PEOPLES R CHINA</t>
  </si>
  <si>
    <t>ice; water; thickness; measurement</t>
  </si>
  <si>
    <t>ICE; THICKNESS</t>
  </si>
  <si>
    <t>An apparatus to measure ice/snow thickness changing in-situ with an automatically touch device was designed and tested. The new apparatus has a significant modification of the traditional drill-hole measurement and thermal wire measurement that need much labor and can not perform the measurement automatically. To illustrate the utility of this instrument, the field test under Antarctic conditions was done at Nella Fjord, Zhongshan Station in the Antarctic from 1st to 6th February, 2003. The error analysis shows the accurate of the measurement is +/- 4mm, which is less 3 mm than the designed machine range resolution 1mm because the harsh field conditions. The principle, structures, advantages and disadvantages of the apparatus are introduced.</t>
  </si>
  <si>
    <t>Dalian Univ Technol, State Key Lab Coastal &amp; Offshore Engn, Dalian 116024, Peoples R China</t>
  </si>
  <si>
    <t>Dalian University of Technology</t>
  </si>
  <si>
    <t>Li, ZJ (corresponding author), Dalian Univ Technol, State Key Lab Coastal &amp; Offshore Engn, Dalian 116024, Peoples R China.</t>
  </si>
  <si>
    <t>INTERNATIONAL ACADEMIC PUBLISHERS LTD</t>
  </si>
  <si>
    <t>HONG KONG</t>
  </si>
  <si>
    <t>UNIT 1205, 12 FLOOR, SINO PLAZA, 255 GLOUCESTER ROAD, HONG KONG 00000, CAUSEWAY BAY, PEOPLES R CHINA</t>
  </si>
  <si>
    <t>7-5062-7445-0</t>
  </si>
  <si>
    <t>Instruments &amp; Instrumentation</t>
  </si>
  <si>
    <t>BCZ22</t>
  </si>
  <si>
    <t>WOS:000232030702240</t>
  </si>
  <si>
    <t>Li, ZJ; Lu, P</t>
  </si>
  <si>
    <t>Measurement of iceberg draft with marine radar</t>
  </si>
  <si>
    <t>ice; iceberg; motion; measurement; marine radar</t>
  </si>
  <si>
    <t>SEA-ICE</t>
  </si>
  <si>
    <t>Using imageries of marine radar on R/V Xuelong, the movement of icebergs along the route of the 19th Chinese National Antarctic Research Expedition in the Antarctic Ocean during December, 2002 to January, 2003, was analyzed. By recording the ship position, ship head and ship velocity, the direction and velocity of icebergs on the radar screen are calculated. This paper gives the description of the marine radar on the R/V Xuelong, the principle of the measurement and the preliminary results of the iceberg movement along the route as examples. The analysis of the technology on the iceberg measurement was discussed following the marine environments. Also the analysis of technology using in the sea ice floe motion was performed following the investigation and the investigation of the second of Chinese National Arctic Research Expedition during the fall of 2003.</t>
  </si>
  <si>
    <t>WOS:000232030702241</t>
  </si>
  <si>
    <t>Cockell, CS</t>
  </si>
  <si>
    <t>The unsupported transpolar assault on the Martian Geographic North Pole</t>
  </si>
  <si>
    <t>JBIS-JOURNAL OF THE BRITISH INTERPLANETARY SOCIETY</t>
  </si>
  <si>
    <t>Mars polar; unsupported; snow; Antarctica; expedition</t>
  </si>
  <si>
    <t>EXPEDITIONS; MARS</t>
  </si>
  <si>
    <t>I describe the unsupported (no vehicles and no resupply and supplies manhauled along the entire route), overland assault on the Martian Geographic North Pole by two people. The total initial mass of each hauled sledge should be no greater than 420 kg based on previous expeditions in Antarctica and taking into account the Martian gravity. If the expedition is accomplished in approximately 80 days at a mean progress of 16 km/day, it will be possible to carry sufficient oxygen for the duration of the expedition, thus removing the requirement for in situ oxygen harvesting. The gathering of oxygen in-situ can reduce the required daily progress to about 6 km/day because extra food can be carried, assuming that equipment mass is not significantly greater than without in situ oxygen use. I estimate food and water requirements and describe some of the major parameters of the expedition. The unsupported crossing of Antarctica provides a significant number of other insights into how such an expedition would be implemented at the Martian polar caps. The unsupported overland assault on the Martian North Pole will be a significant milestone in Martian polar exploration and could provide a useful science return.</t>
  </si>
  <si>
    <t>Cockell, CS (corresponding author), British Antarctic Survey, Madingley Rd, Cambridge CB3 0ET, England.</t>
  </si>
  <si>
    <t>csco@bas.ac.uk</t>
  </si>
  <si>
    <t>BRITISH INTERPLANETARY SOC</t>
  </si>
  <si>
    <t>27-29 S LAMBETH RD, LONDON SW8 1SZ, ENGLAND</t>
  </si>
  <si>
    <t>0007-084X</t>
  </si>
  <si>
    <t>JBIS-J BRIT INTERPLA</t>
  </si>
  <si>
    <t>JBIS-J. Br. Interplanet. Soc.</t>
  </si>
  <si>
    <t>Engineering, Aerospace; Astronomy &amp; Astrophysics; Geosciences, Multidisciplinary</t>
  </si>
  <si>
    <t>Engineering; Astronomy &amp; Astrophysics; Geology</t>
  </si>
  <si>
    <t>885FW</t>
  </si>
  <si>
    <t>WOS:000226143500004</t>
  </si>
  <si>
    <t>Leuschen, CJ; Raney, RK</t>
  </si>
  <si>
    <t>Leuschen, Carl J.; Raney, R. Keith</t>
  </si>
  <si>
    <t>Initial results of data collected by the APL D2P radar altimeter over land and sea ice</t>
  </si>
  <si>
    <t>JOHNS HOPKINS APL TECHNICAL DIGEST</t>
  </si>
  <si>
    <t>VARIABILITY</t>
  </si>
  <si>
    <t>Measuring changes in the cryosphere from satellite-based altimeters has and will continue to provide data that are essential to our understanding of the long-term trends of the Earth's ice cover. Over the past years; APL has played a major role in airborne field activities observing continental ice sheets, outlet glaciers, and sea ice using the delay-Doppler Phase-monopulse (D2P) airborne radar altimeter, designed and built by staff at APL as part of the NASA Instrument Incubator Program. The D2P altimeter has been deployed during field campaigns in both the Arctic (2002 and 2003) and Antarctic (2003 and 2004). During these airborne deployments, radar data were collected along with simultaneous and coincidental laser altimeter measurements. The resulting comparisons show that the two altimeters respond quite differently to the various cryospheric geologies. This article briefly reviews the D2P system and compares radar and laser altimeter data selected from the campaigns.</t>
  </si>
  <si>
    <t>Johns Hopkins Univ, Appl Phys Lab, Dept Space, Ocean Remote Sensing Grp, Laurel, MD 20703 USA</t>
  </si>
  <si>
    <t>Johns Hopkins University; Johns Hopkins University Applied Physics Laboratory</t>
  </si>
  <si>
    <t>Leuschen, CJ (corresponding author), Johns Hopkins Univ, Appl Phys Lab, Dept Space, Ocean Remote Sensing Grp, Laurel, MD 20703 USA.</t>
  </si>
  <si>
    <t>carl.leuschen@jhuapl.edu</t>
  </si>
  <si>
    <t>JOHNS HOPKINS UNIV APPLIED PHYSICS LABORATORY LLC</t>
  </si>
  <si>
    <t>LAUREL</t>
  </si>
  <si>
    <t>11100 JOHNS HOPKINS RD, LAUREL, MD 20723 USA</t>
  </si>
  <si>
    <t>0270-5214</t>
  </si>
  <si>
    <t>1930-0530</t>
  </si>
  <si>
    <t>J HOPKINS APL TECH D</t>
  </si>
  <si>
    <t>Johns Hopkins APL Tech. Dig.</t>
  </si>
  <si>
    <t>046FW</t>
  </si>
  <si>
    <t>WOS:000237797800003</t>
  </si>
  <si>
    <t>Stallwood, B; Shears, J; Williams, PA; Hughes, KA</t>
  </si>
  <si>
    <t>Low temperature bioremediation of oil-contaminated soil using biostimulation and bioaugmentation with a Pseudomonas sp from maritime Antarctica</t>
  </si>
  <si>
    <t>JOURNAL OF APPLIED MICROBIOLOGY</t>
  </si>
  <si>
    <t>Antarctica; bacteria; bioaugmentation; biostimulation; hydrocarbon; oil</t>
  </si>
  <si>
    <t>MICROBIAL-POPULATIONS; DIESEL FUEL; HYDROCARBONS; PETROLEUM; BACTERIA; SPILLS; ISLAND; BIODEGRADATION; MINERALIZATION; DEGRADATION</t>
  </si>
  <si>
    <t>Aims: To identify native Antarctic bacteria capable of oil degradation at low temperatures. Methods and Results: Oil contaminated and pristine soils from Signy Island (South Orkney Islands, Antarctica) were examined for bacteria capable of oil degradation at low temperatures. Of the 300 isolates cultured, Pseudomonas strain ST41 grew on the widest range of hydrocarbons at 4 degrees C. ST41 was used in microcosm studies of low temperature bioremediation of oil-contaminated soils. Microcosm experiments showed that at 4 degrees C the levels of oil degradation increased, relative to the controls, with (i) the addition of ST41 to the existing soil microbial population (bioaugmentation), (ii) the addition of nutrients (biostimulation) and to the greatest extent with (iii) a combination of both treatments (bioaugmentation and biostimulation). Addition of water to oil contaminated soil (hydration) also enhanced oil degradation, although less than the other treatments. Analysis of the dominant species in the microcosms after 12 weeks, using temporal temperature gradient gel electrophoresis, showed Pseudomonas species to be the dominant soil bacteria in both bioaugmented and biostimulated microcosms. Conclusions: Addition of water and nutrients may enhance oil degradation through the biostimulation of indigenous oil-degrading microbial populations within the soil. However, bioaugmentation with Antarctic bacteria capable of efficient low temperature hydrocarbon degradation may enhance the rate of bioremediation if applied soon after the spill. Significance and Impact of the Study: In the future, native soil bacteria could be of use in bioremediation technologies in Antarctica.</t>
  </si>
  <si>
    <t>British Antarctic Survey, NERC, Cambridge CB3 0ET, England; Univ Wales, Sch Biol Sci, Bangor, Gwynedd, Wales</t>
  </si>
  <si>
    <t>UK Research &amp; Innovation (UKRI); Natural Environment Research Council (NERC); NERC British Antarctic Survey; Bangor University</t>
  </si>
  <si>
    <t>1364-5072</t>
  </si>
  <si>
    <t>1365-2672</t>
  </si>
  <si>
    <t>J APPL MICROBIOL</t>
  </si>
  <si>
    <t>J. Appl. Microbiol.</t>
  </si>
  <si>
    <t>10.1111/j.1365-2672.2005.02678.x</t>
  </si>
  <si>
    <t>964FC</t>
  </si>
  <si>
    <t>WOS:000231863200010</t>
  </si>
  <si>
    <t>Gabis, I; Troshichev, OA</t>
  </si>
  <si>
    <t>QBO cycle identified by changes in height profile of the zonal winds: new regularities</t>
  </si>
  <si>
    <t>3rd Workshop on Solar Activity Forcing of the Middle Atmosphere</t>
  </si>
  <si>
    <t>SEP 15-18, 2003</t>
  </si>
  <si>
    <t>Prague, CZECH REPUBLIC</t>
  </si>
  <si>
    <t>equatorial stratosphere; qasi-biennial oscillations; zonal winds; height wind profiles; temperature variations; maximal ozone content layer</t>
  </si>
  <si>
    <t>QUASI-BIENNIAL OSCILLATION; SOLAR-CYCLE; STRATOSPHERE; TEMPERATURE; OZONE</t>
  </si>
  <si>
    <t>The vertical wind profiles in the equatorial atmosphere for 1953-2003 have been examined to study the regularities of the wind reversal in quasi-biennial oscillations (QBO) cycle. The detail analysis of rotation in the stratospheric wind profiles reveals that the quiet periods alternate with active periods, characterized by strong disturbing winds. The stage with the easterly winds above 20-30 hPa and westerly winds lower this layer (Stage 1) always starts in solstice months and can last during 3-4, 9-10, or 15-16 months with no essential changes in the wind profile. Then. the disturbing winds are developed in layer below 20-30 hPa during the nearest equinox. It takes 20-21 months for next 1 stages and the wind profile with the easterly winds above and westerly winds below 20-30 hPa (Stage 1) is formed again in solstioe. Accordingly, the full cycle of the wind evolution takes 24, 30, or 36 months depending on duration of the Stage 1. It is shown that stages with the disturbing winds (2, 4 6, and 8) have maximum intensity around the equinox seasons. There is a definite connection between development of the disturbing winds and the temperature variations in layer of the maximal ozone content (20-30 hPa). (C) 2004 Elsevier Ltd. All rights reserved.</t>
  </si>
  <si>
    <t>Russian Fed, Arctic &amp; Antarctic Res Inst, St Petersburg 199397, Russia</t>
  </si>
  <si>
    <t>Troshichev, OA (corresponding author), Russian Fed, Arctic &amp; Antarctic Res Inst, 38 Bering St, St Petersburg 199397, Russia.</t>
  </si>
  <si>
    <t>olegtro@aari.nw.ru</t>
  </si>
  <si>
    <t>10.1016/j.jastp.2004.07.015</t>
  </si>
  <si>
    <t>887YM</t>
  </si>
  <si>
    <t>WOS:000226341400004</t>
  </si>
  <si>
    <t>Troshichev, I; Gabis, I</t>
  </si>
  <si>
    <t>Effects of solar UV irradiation on dynamics of ozone hole in Antarctica</t>
  </si>
  <si>
    <t>ozone hole; antarctic stratosphere; solar UV irradiance; height O-3 partial pressure profiles temperature vafiations; wind disturbances</t>
  </si>
  <si>
    <t>ACTIVE-REGION EVOLUTION; SHORT-TERM CHANGES; TIME-SERIES; FLUX; STRATOSPHERE; ROTATION; INDEX; VARIABILITY; WINTER; CYCLE</t>
  </si>
  <si>
    <t>To study relationship between changes in solar ultraviolet (UV) irradiance and dynamics of the Antarctic ozone hole during the final breakup of the Antarctic polar vortex the composite Mg II index has been used as a proxy for the solar UV irradiance. The short-term changes in the UV-irradiation have been separated after removing the long- and middle term variations. Examination of maps of the total ozone distribution above Antarctica showed that the ozone hole collapse succeeds displacement of the hole center front the South Pole. where the absolute minimum of total ozone is usually located. Comparison with variations of the UV irradiation reveals that phase of the quick decay of the ozone hole is preceded by the maximal solar UV irradiation in course of the regular 27-days variation. Analysis of the vertical profiles of ozone density, temperature, wind speed and total column ozone above station Amundsen-Scott showed that ozone hole is filled up in spring typically in two phases. During the first gradual phase the ozone filling occurs very slowly, whereas the second phase is characterized by sudden and sharp increase of the ozone content (about 50-100 Dobson units in few days). In this period the strong wind disturbances are observed in the higher stratosphere as well. Conclusion is made that rate of the ozone hole filling during the Antarctic later spring depends on the intensity of solar UV, and high level of the UV irradiation turns Out to be sufficient to initiate the dynamical processes leading to the collapse of the winter circumpolar vortex. (C) 2004 Elsevier Ltd. All rights reserved.</t>
  </si>
  <si>
    <t>Troshichev, I (corresponding author), Arctic &amp; Antarctic Res Inst, 38 Bering St, St Petersburg 199397, Russia.</t>
  </si>
  <si>
    <t>10.1016/j.jastp.2004.07.020</t>
  </si>
  <si>
    <t>WOS:000226341400009</t>
  </si>
  <si>
    <t>Zubov, V; Rozanov, E; Shirochkov, A; Makarova, L; Egorova, T; Kiselev, A; Ozolin, Y; Karol, I; Schmutz, W</t>
  </si>
  <si>
    <t>Modeling of the Joule heating influence on the circulation and ozone concentration in the middle atmosphere</t>
  </si>
  <si>
    <t>solar wind; middle atmosphere; chemistry climate model; Joule heating rate</t>
  </si>
  <si>
    <t>SOLAR; STRATOSPHERE; PARAMETERIZATION; IMPACT; GAS</t>
  </si>
  <si>
    <t>A chemistry climate model is used to evaluate of the possible influence of Joule heating induced by the solar wind and interplanetary magnetic field (IMF) elements on the ozone concentration and dynamics of the Earth atmosphere. The Joule heating rates in the stratosphere are parameterized on the base of the time series of the solar wind and IMF parameters taken from the NASA database (Interplanetary Medium Data Book, NASA, USA, 1999) for 1996. The results of the 10-year-long model run with the additional Joule source of heat are compared with the output of the unperturbed (control) 20-year-long model run. Both simulations are performed in equilibrium mode with prescribed boundary conditions and for the minimum of the 11-year solar cycle. The comparison of the model outputs shows that the simulated atmosphere is rather sensitive to the introduced Joule heating. The most significant changes were found in the lower stratosphere of the northern hemisphere (NH). The NH lower-stratosphenc temperature increases by 1-3 K almost throughout the whole year with the significance level at 95% or higher. In boreal summer. the changes of the ozone concentration are anti-correlated with the temperature as expected from the gas phase photochemical theory. In boreal autumn and spring, the variations of the ozone mixing ratio can be affected not only by the local temperature changes but also by the redistribution of the meridional circulation in the stratosphere. In the southern hemisphere (SH), the additional Joule heating leads to a significant increase of the stratospheric temperature for the austral winter (similar to 2 K). The most substantial SH ozone changes (similar to 10%) are found in the lower stratosphere during the austral spring. (C) 2004 Elsevier Ltd. All rights reserved.</t>
  </si>
  <si>
    <t>Main Geophys Observ, St Petersburg 194021, Russia; World Radiat Ctr, Phys Meteorol Observ, Davos, Switzerland; Arctic &amp; Antarctic Res Inst, St Petersburg 199397, Russia; ETH, Inst Atmospher &amp; Climate Sci, Zurich, Switzerland</t>
  </si>
  <si>
    <t>Arctic &amp; Antarctic Research Institute; Swiss Federal Institutes of Technology Domain; ETH Zurich</t>
  </si>
  <si>
    <t>Main Geophys Observ, 7 Karbyshev St, St Petersburg 194021, Russia.</t>
  </si>
  <si>
    <t>zubov@main.mgo.rsssi.ru</t>
  </si>
  <si>
    <t>Egorova, Tatiana/ABB-4664-2021; Rozanov, Eugene/A-9857-2012; Rozanov, Eugene/V-1881-2018; Kiselev, Andrey A/K-8618-2018; Schmutz, Werner K/B-4153-2014</t>
  </si>
  <si>
    <t>Egorova, Tatiana/0000-0001-8300-3642; Rozanov, Eugene/0000-0003-0479-4488; Rozanov, Eugene/0000-0003-0479-4488; Schmutz, Werner K/0000-0003-1159-5639</t>
  </si>
  <si>
    <t>10.1016/j.jastp.2004.07.024</t>
  </si>
  <si>
    <t>WOS:000226341400014</t>
  </si>
  <si>
    <t>McDowall, RM</t>
  </si>
  <si>
    <t>Falkland islands biogeography: converging trajectories in the South Atlantic Ocean</t>
  </si>
  <si>
    <t>affinities; dispersal; Falkland Islands; Patagonia; South Africa; sub-Antarctic; Tierra del Fuego</t>
  </si>
  <si>
    <t>NEW-ZEALAND; FRESH; GENUS; GEORGIA; ACARI; PHREODRILIDAE; BIODIVERSITY; OLIGOCHAETA; TUBIFICIDAE; TECTONICS</t>
  </si>
  <si>
    <t>Aim This paper describes the biogeographical setting of the Falkland Islands, in the context of the relationships of the islands' biota to other sub-Antarctic/cold temperate lands. Location The analysis focuses primarily on the Falklands biota, and explores its relationships to those of Patagonian South America and South Africa, other southern lands and the islands of the sub-Antarctic Pacific, Indian and Atlantic Oceans. Methods The study derives largely from literature sources on the biota and geological history of the Falkland Islands. Results The animals and plants known from the Falkland Islands exhibit strong affinities with those of Patagonian South America, and especially Tierra del Fuego; additional affinities are with various remote islands of the sub-Antarctic, as well as New Zealand and to a lesser extent Australia; often these are shared with Patagonia. While the biotic affinities might be interpreted, by some, as indicating a former Gondwanan/South American geological connection of the Falklands, geological evidence points to the Falklands formerly having a land connection to south-eastern South Africa. Only faint hints of a South African biotic connection remain. The historical biotic and geological connections of the Falklands thus conflict. Moreover, the Falklands biota is so strongly Patagonian that derivation of that biota is best seen as resulting from dispersal, much of it probably recent. This dispersal biota appears to have replaced, and perhaps displaced, the South African biota present on the islands as they detached from South Africa and drifted across the south Atlantic Ocean, as it opened up as South America and Africa drifted apart.</t>
  </si>
  <si>
    <t>Natl Inst Water &amp; Atmospher Res, Christchurch, New Zealand</t>
  </si>
  <si>
    <t>McDowall, RM (corresponding author), Natl Inst Water &amp; Atmospher Res, POB 8602, Christchurch, New Zealand.</t>
  </si>
  <si>
    <t>r.mcdowall@niwa.co.nz</t>
  </si>
  <si>
    <t>10.1111/j.1365-2699.2004.01167.x</t>
  </si>
  <si>
    <t>882PX</t>
  </si>
  <si>
    <t>WOS:000225951900005</t>
  </si>
  <si>
    <t>Greve, M; Gremmen, NJM; Gaston, KJ; Chown, SL</t>
  </si>
  <si>
    <t>Nestedness of Southern Ocean island biotas: ecological perspectives on a biogeographical conundrum</t>
  </si>
  <si>
    <t>biological invasions; colonization; endemicity; Insulantarctica; nestedness; sub-Antarctic</t>
  </si>
  <si>
    <t>PRINCE-EDWARD ISLANDS; SPECIES COMPOSITION; FALKLAND ISLANDS; HISTORICAL BIOGEOGRAPHY; RELATIVE IMPORTANCE; WEEVILS COLEOPTERA; MOLECULAR APPROACH; PLANT INVASIONS; SUBSET PATTERNS; MARION ISLAND</t>
  </si>
  <si>
    <t>Aim To use patterns of nestedness in the indigenous and non-indigenous biotas of the Southern Ocean islands to determine the influence of dispersal ability on biogeographical patterns, and the importance of accounting for variation in dispersal ability in their subsequent interpretation, especially in the context of the Insulantarctic and multi-regional hypotheses proposed to explain the biogeography of these islands. Location Southern Ocean islands. Methods Nestedness was determined using a new metric, d1 (a modification of discrepancy), for the indigenous and introduced seabirds, land birds, insects and vascular plants of 26 Southern Ocean islands. To assess the possible confounding effects of spatial autocorrelation on the results, islands were assigned to 11 major island groups and each group was treated as a single island in a following analysis. In addition, nestedness of the six Southern Ocean islands comprising the South Pacific Province (New Zealand islands) was analysed. All analyses were conducted for species and genera, for each of the taxa on its own, and for the complete data sets. Results Statistically significant nestedness was found in all of the taxa examined, with nestedness declining in the order seabirds &gt; land birds &gt; vascular plants &gt; insects for the indigenous species. Vagility had a marked influence on nestedness and the biogeographical patterns shown by the indigenous species. This influence was borne out by additional analyses of marine taxa and small-sized terrestrial species, both of which were more nested than the most nested group examined here, the seabirds. Assemblages of non-indigenous species also showed nestedness, and nestedness was generally more pronounced than in the indigenous species. Surprisingly, vagility had a significant effect on nestedness in these assemblages too. Main conclusions Nestedness analyses provide a quantitative means of comparing biogeographical patterns for groups differing in vagility. These comparisons revealed that vagility has a considerable influence on biogeographical patterns and should be taken into account in analyses. Here, investigations of more vagile taxa support hypotheses for a single origin of the Southern Ocean island biota (the Insulantarctica scenario), whilst those of less mobile taxa support the more commonly held, multi-regional hypothesis. All biogeographical analyses across the Southern Ocean (and elsewhere) will be influenced by the effects of dispersal ability, with composite analyses dominated by sedentary groups likely to favour multi-regional scenarios, and those dominated by mobile groups favouring single origins. Mechanisms underlying nestedness in the region range from nested physiological tolerances in more mobile groups to colonization ability and patterns of speciation in less vagile taxa. Considerable nestedness in the non-indigenous assemblages is largely a consequence of the fact that many of these species are European weedy species.</t>
  </si>
  <si>
    <t>Univ Stellenbosch, Dept Zool, SPACE Grp, ZA-7602 Matieland, South Africa; Univ Sheffield, Dept Anim &amp; Plant Sci, Biodivers &amp; Macroecol Grp, Sheffield S10 2TN, S Yorkshire, England; Univ Stellenbosch, DST Ctr Excellence Invas Biol, Matieland, South Africa</t>
  </si>
  <si>
    <t>Stellenbosch University; University of Sheffield; National Research Foundation - South Africa; Stellenbosch University</t>
  </si>
  <si>
    <t>Univ Stellenbosch, Dept Zool, SPACE Grp, Private Bag X1, ZA-7602 Matieland, South Africa.</t>
  </si>
  <si>
    <t>Greve, Michelle/G-7045-2012; Chown, Steven L/H-3347-2011; Chown, Steven/ABD-7646-2021</t>
  </si>
  <si>
    <t>Greve, Michelle/0000-0002-6229-8506;</t>
  </si>
  <si>
    <t>10.1111/j.1365-2699.2004.01169.x</t>
  </si>
  <si>
    <t>WOS:000225951900014</t>
  </si>
  <si>
    <t>Bryophyte diversity and ecology of two geologically contrasting Antarctic islands</t>
  </si>
  <si>
    <t>JOURNAL OF BRYOLOGY</t>
  </si>
  <si>
    <t>mosses; liverworts; inter-island diversity; communities; Antarctic</t>
  </si>
  <si>
    <t>CONTINENTAL ANTARCTICA; DECEPTION ISLAND; SIGNY ISLAND; VEGETATION; CLASSIFICATION; MOSSES; COMMUNITIES; BANKS; FLORA</t>
  </si>
  <si>
    <t>A comparison is made of the bryophyte floras of two small maritime Antarctic islands lying at similar latitudes and with similar climates and glacial topographies, but differing markedly in their origins, geologies and derived soils. Signy Island (South Orkney Islands) is geologically complex with substrata ranging from strongly acidic schist to strongly alkaline marble and amphibolite, while Deception Island (South Shetland Islands) is volcanic with mildly alkaline lava, tuff, basalt and fine ash. Both islands are relatively low and approximately half ice-free. Signy has a long history of glacial fluctuations, allowing a wide range of cryptogamic community types to develop since the mid-Holocene (at least 5500 years ago), while most present substrata on Deception are very recent, following extensive habitat change resulting from eruptions in 18391842 and 1967-1970. The unstable nature of Deception's terrain greatly restricts habitat and plant community diversity. Nevertheless, both islands have the same number of bryophyte species and similar numbers that are exclusive to each island. Of the total of 81 moss and 19 liverwort species for both islands, only 36 and six species, respectively, are common to both islands. Much of this difference in species diversity is due to the greater substratum stability, abundance of surface water and the calcareous rocks and soils on Signy, and to geothermal activity at many sites on Deception.</t>
  </si>
  <si>
    <t>ronald@lewis-smith.wanadoo.co.uk</t>
  </si>
  <si>
    <t>NERC [bas010008] Funding Source: UKRI; Natural Environment Research Council [bas010008] Funding Source: researchfish</t>
  </si>
  <si>
    <t>0373-6687</t>
  </si>
  <si>
    <t>1743-2820</t>
  </si>
  <si>
    <t>J BRYOL</t>
  </si>
  <si>
    <t>J. Bryol.</t>
  </si>
  <si>
    <t>10.1179/174328205X69940</t>
  </si>
  <si>
    <t>986EK</t>
  </si>
  <si>
    <t>WOS:000233432700002</t>
  </si>
  <si>
    <t>Watson, RJ; Butler, ECV; Clementson, LA; Berry, KM</t>
  </si>
  <si>
    <t>Flow-injection analysis with fluorescence detection for the determination of trace levels of ammonium in seawater</t>
  </si>
  <si>
    <t>INDOPHENOL-BLUE METHOD; FLUOROMETRIC-DETERMINATION; ORTHO-PHTHALALDEHYDE; AMINO-ACIDS; NANOMOLAR CONCENTRATIONS; LIQUID-CHROMATOGRAPHY; ESTUARINE WATERS; DERIVATIZATION; THIOLS; FRESH</t>
  </si>
  <si>
    <t>A method using flow-injection, gas-diffusion, derivatisation and then fluorescent detection has been established for ammonium ion determination in seawater. The fluorescent derivative formed by reacting ortho-phthaldialdehyde (OPA) and sulfite with ammonia gives high sensitivity while removing potential interferences. This is required to measure the low concentrations of ammonium often seen in the open ocean. The experimental conditions (flow-rate, reagent concentrations, membrane configurations, etc.) were manipulated to improve performance. For a sample throughput of 30 samples h(-1), the limit of detection was 7 nM, the coefficient of variation was 5.7% at 800 nM, and the calibration curve was linear to at least 4 mumol L-1. Interferences were minimised by a gaseous diffusion step. Volatile small molecular-weight amines as interferents were discriminated against by this method. They neither passed through the membrane as efficiently as ammonia, nor reacted as readily with OPA when sulfite was the reductant. Contamination by ammonia from laboratory and shipboard sources complicates application of the method to natural waters, especially measurement of low concentrations (&lt; 100 nM) in open-ocean waters. Steps to overcome contamination are described in detail. Some results are presented for ammonium determination in Southern Ocean and Huon Estuary (Tasmania) waters.</t>
  </si>
  <si>
    <t>CSIRO, Hobart, Tas 7001, Australia; Univ Tasmania, Antarctic Climate &amp; Ecosyst CRC, Hobart, Tas 7001, Australia</t>
  </si>
  <si>
    <t>Commonwealth Scientific &amp; Industrial Research Organisation (CSIRO); University of Tasmania</t>
  </si>
  <si>
    <t>Watson, RJ (corresponding author), CSIRO, GPO Box 1538, Hobart, Tas 7001, Australia.</t>
  </si>
  <si>
    <t>Ros.Watson@csiro.au</t>
  </si>
  <si>
    <t>Watson, Roslyn J./JVN-9055-2024; Clementson, Lesley A/M-6905-2013</t>
  </si>
  <si>
    <t>Butler, Edward/0000-0002-6660-3985</t>
  </si>
  <si>
    <t>10.1039/b405924g</t>
  </si>
  <si>
    <t>896IB</t>
  </si>
  <si>
    <t>WOS:000226926700010</t>
  </si>
  <si>
    <t>Fattori, I; Becagli, S; Bellandi, S; Castellano, E; Innocenti, M; Mannini, A; Severi, M; Vitale, V; Udisti, R</t>
  </si>
  <si>
    <t>Chemical composition and physical features of summer aerosol at Terra Nova Bay and Dome C, Antarctica</t>
  </si>
  <si>
    <t>SEA-SALT AEROSOL; FIRN LAYERS; SNOW; ICE; ATMOSPHERE; CHEMISTRY; VOSTOK</t>
  </si>
  <si>
    <t>During the 2002-2003 austral summer field season, aerosol samples were collected at a coastal ( Terra Nova Bay-Northern Victoria Land) and an inland site ( Dome C-East Antarctic Plateau). The sampling was carried out by stacked filter units made up of two filters at different porosity ( 5.0 and 0.4 mu m at Terra Nova Bay and 3.0 and 0.4 mm at Dome C), able to roughly separate a coarse from a. ne fraction. At Dome C, a further investigation on aerosol size distribution was performed by an inertial impactor able to collect aerosol particles on 8 size classes ( from 10 to 0.4 mm). Atomic Force Microscopy was applied to the filter collecting the finer fraction in both sites in order to assess the real cut-off value of the filter sandwich apparatus and to reconstruct the volume size distribution. At the employed flow conditions, the real cut-off value was revealed to be about one third with respect to the filter nominal porosity in both stations. The size distribution plots showed a bimodal distribution with a mode centered around 0.22 mu m in both the sites and a second broader mode which is centered between 0.3 mu m and 1.2 mu m diameter at Terra Nova Bay and shifted toward higher values ( centred around 1.0 mu m diameter) at Dome C. Each filter was analysed for the main and trace ionic components allowing evaluation of the contributions of primary and secondary aerosol sources at the two sites as a function of the particle size class. The coastal site is mainly affected by primary and secondary marine inputs: the sea spray contribution ( Na+, Mg2+, Cl- and ssSO(4)(2-)) is dominant ( 77% w/w) in the coarse fraction whereas the biogenic source ( methanesulfonate and nssSO(4)(2-)) prevails ( 67.5% w/w) in the. ne fraction. In this fraction a significant contribution ( 15.5% w/w) is provided by ammonium likely to be related to surrounding penguin colonies. Dome C atmosphere is characterised by. ne particles arising from secondary sources and long-range transport processes. The main component in the. ne and coarse fractions at Dome C is sulfate whose nssSO(4)(2-) represents the 99.5% and the 92.3% ( w/w) in. ne and coarse fraction, respectively. The observed agreement between nssSO(4)(2-) and methanesulfonate temporal profiles in the. ne fraction demonstrates that biogenic emissions dominate the inland background aerosol. Results from the sampling by the 8-stage impactor at Dome C are presented here: chloride and nitrate are mainly deposited on the 10-2.1 mm stages while the highest sulfate concentration was found in the submicrometric fraction which turned out to be the most acidic. Such a distribution is able to prevent nitrate and chloride re-emission as gaseous HCl and HNO3 in the 10-2.1 mu m stages, arising from the exchange reaction between chloride and nitrate salts and sulfuric acid. Moreover, the concentration peak observed for nitrate in coarser fractions is probably related also to the formation of hygroscopic NH4NO3 particles and nitrate adsorption on sea salt particles.</t>
  </si>
  <si>
    <t>Univ Florence, Dept Chem, Dept Analyt Chem, I-50019 Sesto Fiorentino, FI, Italy; Univ Siena, MNA, I-53100 Siena, Italy; CNR Bologna, ISAC, I-40129 Bologna, Italy</t>
  </si>
  <si>
    <t>University of Florence; University of Siena; Consiglio Nazionale delle Ricerche (CNR); Istituto di Scienze dell'Atmosfera e del Clima (ISAC-CNR)</t>
  </si>
  <si>
    <t>Univ Florence, Dept Chem, Dept Analyt Chem, Via Lastruccia 3, I-50019 Sesto Fiorentino, FI, Italy.</t>
  </si>
  <si>
    <t>Becagli, Silvia/GNW-2665-2022; Udisti, Roberto/M-7966-2015; vitale, vito/AAW-8441-2021; Severi, Mirko/J-2508-2012</t>
  </si>
  <si>
    <t>Udisti, Roberto/0000-0003-4440-8238; Severi, Mirko/0000-0003-1511-6762; Becagli, Silvia/0000-0003-3633-4849; Innocenti, Massimo/0000-0003-1044-5583; vitale, vito/0000-0003-0978-8976</t>
  </si>
  <si>
    <t>10.1039/b507327h</t>
  </si>
  <si>
    <t>986OG</t>
  </si>
  <si>
    <t>WOS:000233459000020</t>
  </si>
  <si>
    <t>Toscano, G; Gambaro, A; Moret, I; Capodaglio, G; Turetta, C; Cescon, P</t>
  </si>
  <si>
    <t>Trace metals in aerosol at Terra Nova Bay, Antarctica</t>
  </si>
  <si>
    <t>SNOW RECORD; DISTRIBUTIONS; EMISSIONS; POLAR</t>
  </si>
  <si>
    <t>Atmospheric particulate with an aerodynamic diameter &lt; 10 mu m ( PM10) was sampled continuously during the austral summers of 2000-2001 and 2001-2002 at a coastal site near to the Italian base of Terra Nova, Antarctica. Li, Pb, Cd, U, Ba, Bi, Cs, Rb, Tl, Sr, Al, V, Fe, Cu, Mn, Zn, Co, Ag were determined by inductively coupled sector field mass spectroscopy ( ICP-SFMS) after sample digestion by a combination of HF, HNO3, and H2O2 in ultraclean conditions. Quality control of the analytical procedure was carried out by blank control, by evaluating the limits of detection, recoveries and repeatability. Concentrations found are extremely low for most metals, confirming the high purity of Antarctic aerosol. Principal Component Analysis ( PCA) highlights high correlations among Pb, Cr, Bi, Cu and Zn concentration values and among Li, U, Ba, Cs, Rb, Al, V, Fe, Mn, Co concentration values permitting the identification of two principal source groups, namely crustal dust and human emission activities. Elements of anthropogenic origins ( Pb, Cr, Cu, Zn) were highly enriched with respect to their crustal composition.</t>
  </si>
  <si>
    <t>Univ Venice, Dipartimento Sci Ambientali, I-30123 Venice, Italy; CNR, Ist Dinam Proc Ambientali, I-30123 Venice, Italy</t>
  </si>
  <si>
    <t>Universita Ca Foscari Venezia; Consiglio Nazionale delle Ricerche (CNR)</t>
  </si>
  <si>
    <t>Univ Venice, Dipartimento Sci Ambientali, Calle Larga S Marta,Dorsoduro 2137, I-30123 Venice, Italy.</t>
  </si>
  <si>
    <t>gambaro@unive.it</t>
  </si>
  <si>
    <t>Capodaglio, Gabriele/D-5295-2014; Turetta, Clara/O-2849-2015</t>
  </si>
  <si>
    <t>Capodaglio, Gabriele/0000-0002-3689-4865; Turetta, Clara/0000-0003-3130-2901; Cescon, Paolo/0000-0003-1836-6759</t>
  </si>
  <si>
    <t>10.1039/b507337p</t>
  </si>
  <si>
    <t>WOS:000233459000021</t>
  </si>
  <si>
    <t>Calace, N; Cremisini, C; Galletti, M; Mirante, S; Petronio, BM</t>
  </si>
  <si>
    <t>Copper and other trace elements strongly bound to humic acids along sediment cores in the Ross Sea, Antarctica</t>
  </si>
  <si>
    <t>NATURAL ORGANIC-MATTER; SUBSTANCES; BINDING; CADMIUM; ZINC</t>
  </si>
  <si>
    <t>Marine sediment cores sampled in three different areas, during the 1997/98 Italian Antarctic Expedition, were studied. The cores ( 40 cm) were immediately subdivided into 13 or 14 layers ( 2-4 cm) in order to obtain a high-depth resolution in the metal content and humic substance analyses. The results obtained for the amount of metals strongly bound to humic acids showed the following order: Cu &gt;&gt; Zn &gt;&gt; Co &gt; As &gt;= Mn. The fraction of Cu, Zn and As bound to humic acid ( mu g g(-1) of HA) increases in the first 10-12 cm of cores, then a decrease is observed. This observation could be related both to the presence of a mobile fraction of metals in sediments successively bound to humic acids and to different structural features showed by humic acids along the cores, due to transformation processes. For the other metals a variable pattern along the cores was found.</t>
  </si>
  <si>
    <t>Univ Roma La Sapienza, Dept Chem, I-00185 Rome, Italy; ENEA, PROT, CHIM, I-00060 Rome, Italy</t>
  </si>
  <si>
    <t>Sapienza University Rome; Italian National Agency New Technical Energy &amp; Sustainable Economics Development</t>
  </si>
  <si>
    <t>Univ Roma La Sapienza, Dept Chem, Ple A Moro 5, I-00185 Rome, Italy.</t>
  </si>
  <si>
    <t>biancamaria.petronio@uniroma1.it</t>
  </si>
  <si>
    <t>Cremisini, Carlo/AAL-2350-2021</t>
  </si>
  <si>
    <t>Calace, Nicoletta/0000-0003-1823-1168</t>
  </si>
  <si>
    <t>10.1039/b507317k</t>
  </si>
  <si>
    <t>WOS:000233459000022</t>
  </si>
  <si>
    <t>Ciardullo, S; Held, A; D'Amato, M; Emons, H; Caroli, S</t>
  </si>
  <si>
    <t>Homogeneity and stability study of the candidate reference material Adamussium colbecki for trace elements</t>
  </si>
  <si>
    <t>CERTIFIED REFERENCE MATERIAL</t>
  </si>
  <si>
    <t>The preparation of a new candidate certified reference material ( CRM) for trace elements based on the antarctic bivalve Adamussium colbecki ( IRMM 813) was carried out by the Istituto Superiore di Sanita ( ISS, Rome, Italy) in cooperation with the Institute for Reference Materials and Measurements, Joint Research Centre of the European Commission ( EC-JRC-IRMM), in the frame of the Italian National Programme of Research in Antarctica ( Programma Nazionale di Ricerca in Antartide, PNRA). Samples were collected at Terra Nova Bay ( Ross Sea) during the 2000-2001 expedition in Antarctica. The preparation of a material suitable for certification was performed by the EC-JRC-IRMM. Measurements for homogeneity and short-term stability tests were carried out by ISS. The elements selected for the certification project were As, Cd, Cu, Cr, Fe, Mn, Ni and Zn. For the above-mentioned tests, the determination of the elements of interest was performed on samples mineralised by microwave-assisted acid digestion. The analytical techniques employed to this end were inductively coupled plasma atomic emission spectrometry ( ICP-AES) and inductively coupled plasma dynamic reaction cell quadrupole mass spectrometry ( ICP-DRC-Q-MS). The candidate material was shown to be fit for purpose with regard to homogeneity and short-term stability, thus allowing the following phases of the certification project to be undertaken, in the first place the selection of expert laboratories for the accomplishment of the certification campaign.</t>
  </si>
  <si>
    <t>Ist Super Sanita, I-00161 Rome, Italy; Commiss European Communities, Inst Reference Mat &amp; Measurements, Joint Res Ctr, B-2440 Geel, Belgium</t>
  </si>
  <si>
    <t>Istituto Superiore di Sanita (ISS); European Commission Joint Research Centre; EC JRC Institute for Reference Materials &amp; Measurements (IRMM)</t>
  </si>
  <si>
    <t>Caroli, S (corresponding author), Ist Super Sanita, Viale Regina Elena 299, I-00161 Rome, Italy.</t>
  </si>
  <si>
    <t>andrea.held@cec.eu.int; caroli@iss.it</t>
  </si>
  <si>
    <t>Held, Andrea/AAF-2408-2020</t>
  </si>
  <si>
    <t>Held, Andrea/0000-0002-9337-839X</t>
  </si>
  <si>
    <t>10.1039/b507318a</t>
  </si>
  <si>
    <t>WOS:000233459000024</t>
  </si>
  <si>
    <t>Largiuni, O; Becagli, S; Innocenti, M; Stortini, AM; Traversi, R; Udisti, R</t>
  </si>
  <si>
    <t>Formaldehyde determination in seawater. Preliminary application to coastal samples at Terra Nova Bay (Antarctica)</t>
  </si>
  <si>
    <t>ROSS SEA; CARBONYL-COMPOUNDS; ORGANIC-CARBON; SURFACE MICROLAYER; PACK-ICE; WATER; AIR; CH3COOH; HCOOH; HCHO</t>
  </si>
  <si>
    <t>A sensitive spectro. uorimetric-FIA (flow injection analysis) method for formaldehyde ( HCHO) determination was improved with the aim of analysing seawater samples. The fluorescence emission versus HCHO concentration shows a linear pattern from sub mu g L-1 to about 1000 mg L-1. The reproducibility at 15 ppb level is about 2%. Interferences from other aldehydes were checked; only glyoxal shows a significative interference, but only when its concentration is about 6000 times higher than that of formaldehyde. Superficial ( microlayer, just sub-pack or sea-ice free sea surface) and deep ( along the water column, sub-pack or in sea-ice free areas) seawater samples were collected near the coast at Terra Nova Bay ( Ross Sea, Antarctica) during the 1998/1999 and 2001/2002 Italian Antarctic Expedition. We report here the preliminary results of the spectrofluorimetric-FIA determination of the HCHO content. The mean seawater superficial formaldehyde concentration was 15 mg L-1; the concentration along the water column ranged between 4.5 to over 40 mg L-1 ( 20 mg L-1 mean concentration), usually with a maximum value for the 30 m depth, corresponding to a fluorescence maximum. The sampling was repeated 7 times in the austral summer in order to evaluate seasonal changes in the formaldehyde concentration/seawater depth profiles. The results show changes in the formaldehyde concentration at different depths.</t>
  </si>
  <si>
    <t>Univ Siena, Ctr Geotechnol, I-52027 San Giovanni Valdarno, AR, Italy; Univ Florence, Dept Chem, I-50019 Sesto Fiorentino, FI, Italy; Univ Ca Foscari, Dept Environm Sci, I-30123 Venice, Italy</t>
  </si>
  <si>
    <t>University of Siena; University of Florence; Universita Ca Foscari Venezia</t>
  </si>
  <si>
    <t>Largiuni, O (corresponding author), Univ Siena, Ctr Geotechnol, Vetri Vecchi 34, I-52027 San Giovanni Valdarno, AR, Italy.</t>
  </si>
  <si>
    <t>ombretta.largiuni@unisi.it</t>
  </si>
  <si>
    <t>Udisti, Roberto/0000-0003-4440-8238; Innocenti, Massimo/0000-0003-1044-5583; Traversi, Rita/0000-0002-9790-2195; Becagli, Silvia/0000-0003-3633-4849</t>
  </si>
  <si>
    <t>10.1039/b507334k</t>
  </si>
  <si>
    <t>WOS:000233459000025</t>
  </si>
  <si>
    <t>Fuoco, R; Giannarelli, S; Wei, Y; Abete, C; Francesconi, S; Termine, M</t>
  </si>
  <si>
    <t>Polychlorobiphenyls and polycyclic aromatic hydrocarbons in the sea-surface micro-layer and the water column at Gerlache Inlet, Antarctica</t>
  </si>
  <si>
    <t>CONTAMINATION; SEDIMENT; SAMPLES; METALS</t>
  </si>
  <si>
    <t>The enrichment of PCBs ( polychlorobiphenyls) and PAHs ( polycyclic aromatic hydrocarbons) in the sea-surface micro-layer and depth pro. le of these pollutants in the water column were investigated at Gerlache Inlet, Terra Nova Bay, Antarctica. Depth pro. le samplings were repeated three times during the Antarctic summer ( from November to February). PCBs and PAHs showed a concentration range in the water column of 30-120 pg l(-1) and 150-400 pg l(-1), respectively, and these values were very much dependent on the suspended matter content. A nearly two-fold decrease in the pollutant concentration was also observed in the depth pro. le obtained in February, i.e. late summer, which might be correlated both with the high content of suspended matter and the reduction of the pollutant input. Moreover, isomer ratios of PAHs, such as LMW/HMW and PHE/ANT, highlight that the main PAH source might be petrogenic in nature, whereas the pyrolytic source seems to be less important. Sea surface micro-layer ( SML) and sub-surface sea water ( SSW) samples were simultaneously collected in the same site by a remote controlled rotating drum-based sampling system, a prototype named MUMS ( Multi-User Micro-layer Sampler). Sea surface micro-layer samples showed a total content of PCBs and PAHs in the range 400-450 pg l(-1) and 2000-3000 pg l(-1),respectively, whereas the mean content of the sub-surface sea water samples was 48 pg l(-1) and 325 pg l(-1), respectively. The mean enrichment factors of PCBs and PAHs in sea-surface micro-layer were about 10 and 7, respectively. The surface excess concentrations of PCBs and PAHs were about 35 000 and 200 000, respectively. A fairly good correlation was observed between the concentration of pollutants and water solubility. Based on the assumption that POPs are confined in a very thin top layer of the SML about 0.01-0.001 mm thick, namely the sea-surface nano-layer, and also on an estimated thickness of the sampled sea-surface layer of about 100 mm, an enrichment factor of 10(5)-10(6) for the sea-surface nano-layer was calculated. Such a very high concentration increase was related to the two-fold increase of PAH concentration observed in the underlying 20 cm of the water column in late summer.</t>
  </si>
  <si>
    <t>Univ Pisa, Dept Chem &amp; Ind Chem, I-56126 Pisa, Italy; CNR, ICCOM, Pisa Sect, I-56126 Pisa, Italy</t>
  </si>
  <si>
    <t>University of Pisa; Consiglio Nazionale delle Ricerche (CNR); Isituto di Chimica dei Composti Organometallici (ICCOM-CNR)</t>
  </si>
  <si>
    <t>Univ Pisa, Dept Chem &amp; Ind Chem, Via Risorgimento 35, I-56126 Pisa, Italy.</t>
  </si>
  <si>
    <t>fuoco@dcci.unipi.it</t>
  </si>
  <si>
    <t>GIANNARELLI, STEFANIA/0000-0003-0052-0105</t>
  </si>
  <si>
    <t>10.1039/b507329b</t>
  </si>
  <si>
    <t>WOS:000233459000027</t>
  </si>
  <si>
    <t>Calace, N; Cantafora, E; Mirante, S; Petronio, BM; Pietroletti, M</t>
  </si>
  <si>
    <t>Transport and modification of humic substances present in Antarctic snow and ancient ice</t>
  </si>
  <si>
    <t>MARINE AEROSOL; MATTER; EXCHANGE</t>
  </si>
  <si>
    <t>We performed a study of fulvic acids extracted from fresh and aged snow, and from recent and ancient ice in Antarctica. The fresh snow samples were collected in coastal and inland sites to evaluate the influence of the distance from the sea on organic matter transport. Moreover, in a site ( Melbourne Mountain) samples were collected at different heights to study the influence of altitude on transport. The obtained results showed that dissolved fulvic acid concentrations are influenced neither by distance nor by height while particulate fulvic acid concentrations are influenced by both parameters. Moreover, the results showed that fulvic acids transported for a long distance can undergo chemical modi. cations. Chemical modi. cations are better evidenced by the analysis of samples taken in trenches at different depth, which showed structural changes attributable to the loss of nitrogen-containing compounds and to an increase in aromatic character of the structures due to reduction and/or condensation processes. With ageing, the humification process proceeds with heavy carbon losses as demonstrated by results obtained from fulvic acids isolated from ice aged between twenty-five thousand and seventy thousand years.</t>
  </si>
  <si>
    <t>Univ Roma La Sapienza, Dept Chem, I-00185 Rome, Italy</t>
  </si>
  <si>
    <t>Univ Roma La Sapienza, Dept Chem, Ple Aldo Moro 5, I-00185 Rome, Italy.</t>
  </si>
  <si>
    <t>10.1039/b507396k</t>
  </si>
  <si>
    <t>WOS:000233459000028</t>
  </si>
  <si>
    <t>Hong, SM; Boutron, CF; Barbante, C; Do Hur, S; Lee, K; Gabrielli, P; Capodaglio, G; Ferrari, CP; Turetta, C; Petit, JR; Lipenkov, VY</t>
  </si>
  <si>
    <t>Glacial-interglacial changes in the occurrence of Pb, Cd, Cu and Zn in Vostok Antarctic ice from 240 000 to 410 000 years BP</t>
  </si>
  <si>
    <t>EAST ANTARCTICA; POLAR ICE; LEAD; CADMIUM; CLIMATE; PRECONCENTRATION; COPPER; LEVEL; WATER; SNOW</t>
  </si>
  <si>
    <t>Lead ( Pb), cadmium ( Cd), copper ( Cu) and zinc ( Zn) have been measured by electrothermal atomic absorption spectrometry in various sections of the 3623 m deep ice core drilled at Vostok, in central East Antarctica. The sections were dated from 240 to 410 kyear BP ( Marine Isotopic Stages ( MIS) 7.5 to 11.3), which corresponds to the 3rd and 4th glacial-interglacial cycles before present. Concentrations are found to have varied greatly during this 170 kyear time period, with high concentration values during the coldest climatic stages such as MIS 8.4 and 10.2 and much lower concentration values during warmer periods, such as the interglacials MIS 7.5, 9.3 and 11.3. Rock and soil dust were the dominant sources for Pb, whatever the period, and for Zn and Cu and possibly Cd during cold climatic stages. The contribution from volcanic emissions was important for Cd during all periods and might have been significant for Cu and Zn during warm periods.</t>
  </si>
  <si>
    <t>KORDI, Korea Polar Res Inst, Seoul 425600, South Korea; Univ Venice, Dept Environm Sci, I-30123 Venice, Italy; Univ Grenoble 1, CNRS, UMR 5183, Lab Glaciol &amp; Geophys Environm, F-38402 St Martin Dheres, France; Univ Grenoble 1, Observ Sci Univers, F-38041 Grenoble, France; Univ Grenoble 1, Unite Format &amp; Rech Phys, Inst Univ France, F-38041 Grenoble, France; Univ Venice, CNR, Inst Dynam &amp; Environm Proc, I-30123 Venice, Italy; Univ Grenoble 1, Polytech Grenoble, Inst Univ France, F-38041 Grenoble, France; Arctic &amp; Antarctic Res Inst, St Petersburg 199397, Russia</t>
  </si>
  <si>
    <t>Korea Polar Research Institute (KOPRI); Korea Institute of Ocean Science &amp; Technology (KIOST); Universita Ca Foscari Venezia; Centre National de la Recherche Scientifique (CNRS); Communaute Universite Grenoble Alpes; Universite Grenoble Alpes (UGA); Communaute Universite Grenoble Alpes; Universite Grenoble Alpes (UGA); Institut Universitaire de France; Communaute Universite Grenoble Alpes; Universite Grenoble Alpes (UGA); Universita Ca Foscari Venezia; Consiglio Nazionale delle Ricerche (CNR); Istituto per la Dinamica dei Processi Ambientali (IDPA-CNR); Communaute Universite Grenoble Alpes; Institut National Polytechnique de Grenoble; Universite Grenoble Alpes (UGA); Institut Universitaire de France; Arctic &amp; Antarctic Research Institute</t>
  </si>
  <si>
    <t>KORDI, Korea Polar Res Inst, POB 29, Seoul 425600, South Korea.</t>
  </si>
  <si>
    <t>Turetta, Clara/O-2849-2015; Barbante, Carlo/B-3195-2011; Capodaglio, Gabriele/D-5295-2014; Lipenkov, Vladimir/Q-8262-2016</t>
  </si>
  <si>
    <t>Turetta, Clara/0000-0003-3130-2901; Capodaglio, Gabriele/0000-0002-3689-4865; Barbante, Carlo/0000-0003-4177-2288; Lipenkov, Vladimir/0000-0003-4221-5440</t>
  </si>
  <si>
    <t>10.1039/b507331f</t>
  </si>
  <si>
    <t>WOS:000233459000029</t>
  </si>
  <si>
    <t>Ciardullo, S; Taviani, G; Mattei, R; Caroli, S</t>
  </si>
  <si>
    <t>Variations in the level of some trace elements in hair of participants in the Italian expeditions in Antarctica</t>
  </si>
  <si>
    <t>DYNAMIC REACTION CELL; REFERENCE VALUES; ICP-MS</t>
  </si>
  <si>
    <t>As a part the Italian National Programme of Research in Antarctica ( PNRA) a monitoring study has been undertaken to quantify the concentrations of some selected trace elements in human hair of participants in the Antarctic expeditions. Such concentrations may vary as a consequence of the extreme environmental conditions and changes in lifestyle experienced by participants in the expeditions, as some evidence in previous investigations seems to suggest. The present study regards samples collected on the occasion of the 2002-2003 expedition to the Italian Base of Terra Nova Bay ( now Mario Zucchelli Base), i.e., just before the expedition and about one month later. Seven essential elements were taken into account, namely, Ca, Cu, Cr, Fe, Mg, Mn and Mo. Determinations were performed by Inductively Coupled Plasma Atomic Emission Spectrometry ( ICP-AES) and Dynamic Reaction Cell Inductively Coupled Plasma Mass Spectrometry ( DRC-ICP-MS). Data obtained were statistically treated by using the non-parametric Friedman test. The concentrations of Ca, Cu and Mg were found to decrease ( P &lt; 0.05). The stress caused by the severe environmental conditions might well play a role in the observed decrease.</t>
  </si>
  <si>
    <t>Ist Super Sanita, I-00161 Rome, Italy; Univ Siena, Ist Policattedra Sci Chirurg, Policlin Scotte, I-53100 Siena, Italy</t>
  </si>
  <si>
    <t>Istituto Superiore di Sanita (ISS); University of Siena</t>
  </si>
  <si>
    <t>mattei@unisi.it; caroli@iss.it</t>
  </si>
  <si>
    <t>10.1039/b507319g</t>
  </si>
  <si>
    <t>WOS:000233459000030</t>
  </si>
  <si>
    <t>Gulin, SB; Stokozov, NA</t>
  </si>
  <si>
    <t>137Cs concentrations in Atlantic and western Antarctic surface waters:: results of the 7th Ukrainian Antarctic Expedition, 2002</t>
  </si>
  <si>
    <t>JOURNAL OF ENVIRONMENTAL RADIOACTIVITY</t>
  </si>
  <si>
    <t>fallout radionuclide; Cs-137; Atlantic Ocean; Ukrainian Antarctic Station</t>
  </si>
  <si>
    <t>ARTIFICIAL RADIONUCLIDES; BLACK-SEA; SR-90</t>
  </si>
  <si>
    <t>The latitudinal distribution Of Cs-137 in the Atlantic-western Antarctic surface waters was studied during the 7th Ukrainian Antarctic Expedition in January-May 2002. The Cs-137 concentrations have also been measured in the upper ice of the coastal glacier Woozle Hill located near the Ukrainian Antarctic station Akademik Vernadsky (western Antarctica, 65 degrees 15' S-64 degrees 16' W). Comparison of these data with results of previous same-route expeditions SWEDARP (Swedish Antarctic Research Expedition, 1988/1989) and the French R/V Jeanne d'Arc (1992/1993), has shown practically parallel changes of Cs-137 surface concentrations between 40 degrees N and 20 degrees S, pointing to decrease of Cs-137 radioactivity at these latitudes with an apparent half-life of 10-15 years (12.5 +/- 2.1 years on average). This suggests that decrease of Cs-137 surface concentration within this latitude band is controlled, besides the radioactive decay Of Cs-137 (half-life = 30 years), by vertical mixing of the upper water masses. South of 20 degrees S, the Cs-137 concentrations in surface water have decreased more rapidly because of the influence of the less contaminated Antarctic waters. At 50-60 degrees S and near the Antarctic coast, the Cs-137 activity in 2002 was similar to those measured during the SWEDARP and Jeanne d'Arc expeditions, suggesting an additional input of Cs-137 to these waters from the melted ice from the adjacent glaciers. (c) 2005 Elsevier Ltd. All rights reserved.</t>
  </si>
  <si>
    <t>IBSS, UA-99011 Sevastopal, Ukraine</t>
  </si>
  <si>
    <t>IBSS, 2,Nakhimov Av, UA-99011 Sevastopal, Ukraine.</t>
  </si>
  <si>
    <t>sergei@gulin.sebastopol.ua</t>
  </si>
  <si>
    <t>Gulin, Sergey/0000-0001-8692-4666</t>
  </si>
  <si>
    <t>0265-931X</t>
  </si>
  <si>
    <t>1879-1700</t>
  </si>
  <si>
    <t>J ENVIRON RADIOACTIV</t>
  </si>
  <si>
    <t>J. Environ. Radioact.</t>
  </si>
  <si>
    <t>10.1016/j.jenvrad.2005.02.005</t>
  </si>
  <si>
    <t>946MD</t>
  </si>
  <si>
    <t>WOS:000230575400001</t>
  </si>
  <si>
    <t>Ding, Y; Miao, HL; Li, GY; Wang, QF; Kan, GF; Wang, GD</t>
  </si>
  <si>
    <t>Effect of Cd on GSH and GSH-related enzymes of Chlamydomonas sp ICE-L existing in Antarctic ice</t>
  </si>
  <si>
    <t>JOURNAL OF ENVIRONMENTAL SCIENCES</t>
  </si>
  <si>
    <t>Antarctic ice microalgae; Chlamydomonas sp ICE-L; glutathione; glutathione peroxidase; glutathione reductase; glutathione S-transferase; cadmium</t>
  </si>
  <si>
    <t>CADMIUM-INDUCED CHANGES; OXIDATIVE STRESS; GLUTATHIONE-REDUCTASE; LEAVES; TRANSFERASES; METABOLISM; RESPONSES; KINETICS; LIVER; ACID</t>
  </si>
  <si>
    <t>Glutathione(GSH) and GSH-related enzymes play a great role in protecting organisms from oxidative damage. The GSH level and GSH-related enzymes activities were investigated as well as the growth yield and malonyldialdehyde(MDA) content in the Antarctic ice microalga Chlamydomonas sp. ICE-L exposure to the different cadmium concentration in this paper. The results showed that the higher concentration Cd inhibited the growth of ICE-L significantly and Cd would induce formation of MDA. At the same time, it is clear that GSH level, glutathione peroxidases(GPx) activity and glutathione S-transferases(GST), activity were higher in ICE-L exposed to Gel than the control. But GR activity dropped notably when ICE-L were cultured in the medium containing Cd. Increase of GSH level, GPx and GST activities acclimate to oxidative stress induced by Cd and protect Antarctic ice microalga Chlamydomonas sp. ICE-L from toxicity caused by Cd exposure. These parameters may be used to assess the biological impact of Cd in the Antarctic pole region environment.</t>
  </si>
  <si>
    <t>Ocean Univ China, Marine Life Coll, Qingdao 266003, Peoples R China; SOA, Key Lab Marine Bioact Subst, Qingdao 266061, Peoples R China; Zhanjiang Ocean Univ, Coll Fisheries, Zhanjiang 524025, Peoples R China</t>
  </si>
  <si>
    <t>Ocean University of China; Guangdong Ocean University</t>
  </si>
  <si>
    <t>Ocean Univ China, Marine Life Coll, Qingdao 266003, Peoples R China.</t>
  </si>
  <si>
    <t>dingyuddd@163.com</t>
  </si>
  <si>
    <t>1001-0742</t>
  </si>
  <si>
    <t>1878-7320</t>
  </si>
  <si>
    <t>J ENVIRON SCI</t>
  </si>
  <si>
    <t>J. Environ. Sci.</t>
  </si>
  <si>
    <t>944NP</t>
  </si>
  <si>
    <t>WOS:000230436100030</t>
  </si>
  <si>
    <t>Sun, LG; Yin, XB; Pan, CP; Wang, YH</t>
  </si>
  <si>
    <t>A 50-years record of dichloro-diphenyl-trichloroethanes and hexachlorocyclohexanes in lake sediments and penguin droppings on King George Island, Maritime Antarctic</t>
  </si>
  <si>
    <t>organochlorine pesticides (OCPs); DDT and HCH; lake sediments; penguin droppings; temporal trend; climate warming</t>
  </si>
  <si>
    <t>PERSISTENT ORGANIC POLLUTANTS; ORGANOCHLORINE PESTICIDES; HISTORICAL CONTAMINATION; ATMOSPHERIC TRANSPORT; TRENDS; PCBS; ACCUMULATION; DEPOSITION; RESIDUES; CANADA</t>
  </si>
  <si>
    <t>Since the ban on the use of organochlorine pesticides ( OCPs) such as dichloro-diphenyl-trichloroethane (DDT) and hexachlorocyclohexane(HCH) in agriculture, their levels have generally dropped. In a number of cases, however, the levels of these OCPs were found to be unchanging or even increasing after the ban. With the aim to unveil the possible causes of these exceptions, we collected two lake cores from King George Island, West Antarctica, and determined their accumulation flux profiles and temporal trends of these OCPs. In the lake core sediments with glacier meltwater input, the accumulation flux of DDT shows an abnormal peak around 1980s in addition to the expected one in 1960s. In the lake core sediments without glacier meltwater input, the accumulation flux of DDT shows a gradual decline trend after the peak in 1960s. This striking difference in the DDT flux profiles between the two lake cores is most likely caused by the regional climate warming and the resulted discharge of the DDT stored in the Antarctic ice cap into the lakes in the Antarctic glacier frontier. Furthermore, to investigate the change of OCPs loadings in the Antarctic coastal ecosystem, we reconstructed the HCH and DDT concentration profiles in penguin droppings and observed a gradual increase for the former and a continuous decrease for the latter during the past 50 years. The increase of HCH seems to be due to the regional warming from the early 1970s and the resulted HCH discharge to the coastal ecosystem by glaciers' meltwater and the illegal use of HCH in the Southern Hemisphere in the recent decade. The different temporal trends of HCH and DDT accumulation rate in the lake core with glacier meltwater input and the aged penguin droppings can be explained by their different water-soluble property.</t>
  </si>
  <si>
    <t>Univ Sci &amp; Technol China, Inst Polar Environm, Hefei 230026, Peoples R China; China Agr Univ, Coll Sci, Beijing 100094, Peoples R China</t>
  </si>
  <si>
    <t>Chinese Academy of Sciences; University of Science &amp; Technology of China, CAS; China Agricultural University</t>
  </si>
  <si>
    <t>Univ Sci &amp; Technol China, Inst Polar Environm, Hefei 230026, Peoples R China.</t>
  </si>
  <si>
    <t>Pan, Canping/Q-1002-2019</t>
  </si>
  <si>
    <t>985TS</t>
  </si>
  <si>
    <t>WOS:000233402200004</t>
  </si>
  <si>
    <t>Oda, H</t>
  </si>
  <si>
    <t>Oda, Hirokuni</t>
  </si>
  <si>
    <t>Recurrent Geomagnetic Excursions : A Review for the Brunhes Normal Polarity Chron</t>
  </si>
  <si>
    <t>JOURNAL OF GEOGRAPHY-CHIGAKU ZASSHI</t>
  </si>
  <si>
    <t>Japanese</t>
  </si>
  <si>
    <t>geomagnetic excursion; Brunhes normal polarity chron; relative paleointensity; Sint-800; ODP Site 983; glacial-interglacial cycle</t>
  </si>
  <si>
    <t>MONO LAKE EXCURSION; EARTHS MAGNETIC-FIELD; HIGH-RESOLUTION MAGNETOSTRATIGRAPHY; NATURAL REMANENT MAGNETIZATION; ANTARCTIC SOUTH ATLANTIC; SNAKE RIVER PLAIN; LAST 1.2 MYR; PALEOMAGNETIC RECORD; SECULAR VARIATION; NORTH-ATLANTIC</t>
  </si>
  <si>
    <t>Until now, a large number of records of geomagnetic excursions have been reported both for volcanic rocks and sedimentary sequences. By straightening up the, extensive excursion records, 23 geomagnetic excursions were identified in total for the Brunhes. Eighteen out of 23 excursions are considered to be reliably determined and dated. Above all, Mono Lake (32-34 ka), Laschamp (39-41 ka), Blake (115-122 ka) and Iceland Basin (180-190 ka) are well-documented worldwide excursions. Others include Hilina Pali(18-23 ka), Norwegian-Greenland Sea (60-80 ka), Albuquerque (140-160 ka), Jamaica/Pringle Falls (210-220 ka), Fram Strait (255-265 ka), Kolbeinsey Ridge (280-290 ka), Calabrian Ridge 1 (310-320 ka), Agulhas Ridge (330-340 ka), Weinen (400-420 ka), West Eifel (500-510 ka), Calabrian Ridge 2 (535-545 ka), Emperor/Big Lost (550-570 ka), Calabrian Ridge 3 (580-605 ka), and Delta (665-690 ka). Most of these excursions can be correlated with minima in relative paleointensity records of Sint-800 and ODP Site 983, suggesting that excursions occur due to dominance of a non-dipole field at minima of the main dipole field intensity.</t>
  </si>
  <si>
    <t>[Oda, Hirokuni] Geol Survey Japan, AIST, Inst Geol &amp; Geoinformat, Tokyo, Japan</t>
  </si>
  <si>
    <t>National Institute of Advanced Industrial Science &amp; Technology (AIST)</t>
  </si>
  <si>
    <t>Oda, H (corresponding author), Geol Survey Japan, AIST, Inst Geol &amp; Geoinformat, Tokyo, Japan.</t>
  </si>
  <si>
    <t>Oda, Hirokuni/L-8005-2018</t>
  </si>
  <si>
    <t>Oda, Hirokuni/0000-0001-7142-9208</t>
  </si>
  <si>
    <t>TOKYO GEOGRAPHICAL SOC</t>
  </si>
  <si>
    <t>12-2 NIBANCHO, CHIYODAKU-KU, TOKYO, 102-0084, JAPAN</t>
  </si>
  <si>
    <t>0022-135X</t>
  </si>
  <si>
    <t>1884-0884</t>
  </si>
  <si>
    <t>J GEOGR-TOKYO</t>
  </si>
  <si>
    <t>J. Geogr.</t>
  </si>
  <si>
    <t>Geography, Physical</t>
  </si>
  <si>
    <t>Physical Geography</t>
  </si>
  <si>
    <t>VG2YT</t>
  </si>
  <si>
    <t>WOS:000446244000007</t>
  </si>
  <si>
    <t>Craven, M; Carsey, F; Behar, A; Matthews, J; Brand, R; Elcheikh, A; Hall, S; Treverrow, A</t>
  </si>
  <si>
    <t>Borehole imagery of meteoric and marine ice layers in the Amery Ice Shelf, East Antarctica</t>
  </si>
  <si>
    <t>JOURNAL OF GLACIOLOGY</t>
  </si>
  <si>
    <t>BENEATH; BASE</t>
  </si>
  <si>
    <t>A real-time video camera probe was deployed in a hot-water drilled borehole through the Amery Ice Shelf, East Antarctica, where a total ice thickness of 480 m included at least 200 m of basal marine ice. Down-looking and side-looking digital video footage showed a striking transition from white bubbly meteoric ice above to dark marine ice below, but the transition was neither microscopically sharp nor flat, indicating the uneven nature (at centimetre scale) of the ice-shelf base upstream where the marine ice first started to accrete. Marine ice features were imaged including platelet structures, cell inclusions, entrained particles, and the interface with sea water at the base. The cells are assumed to be entrained sea water, and were present throughout the lower 100-150m of the marine ice column, becoming larger and more prevalent as the lower surface was approached until, near the base, they became channels large enough that the camera field of view could not contain them. Platelets in the marine ice at depth appeared to be as large as 1-2 cm in diameter. Particles were visible in the borehole meltwater; probably marine and mineral particles liberated by the drill, but their distribution varied with depth.</t>
  </si>
  <si>
    <t>Australian Antarctic Div, Hobart, Tas 7001, Australia; Antartic Climate &amp; Ecosyst CRC, Hobart, Tas 7001, Australia; CALTECH, Jet Prop Lab, Pasadena, CA 91109 USA; IASOS, Hobart, Tas 7001, Australia</t>
  </si>
  <si>
    <t>Australian Antarctic Division; University of Tasmania; National Aeronautics &amp; Space Administration (NASA); NASA Jet Propulsion Laboratory (JPL); California Institute of Technology</t>
  </si>
  <si>
    <t>Australian Antarctic Div, Hobart, Tas 7001, Australia.</t>
  </si>
  <si>
    <t>m.craven@utas.edu.au</t>
  </si>
  <si>
    <t>Treverrow, Adam/J-7450-2014</t>
  </si>
  <si>
    <t>Treverrow, Adam/0000-0003-4666-0488</t>
  </si>
  <si>
    <t>EDINBURGH BLDG, SHAFTESBURY RD, CB2 8RU CAMBRIDGE, ENGLAND</t>
  </si>
  <si>
    <t>0022-1430</t>
  </si>
  <si>
    <t>1727-5652</t>
  </si>
  <si>
    <t>J GLACIOL</t>
  </si>
  <si>
    <t>J. Glaciol.</t>
  </si>
  <si>
    <t>10.3189/172756505781829511</t>
  </si>
  <si>
    <t>985RY</t>
  </si>
  <si>
    <t>WOS:000233397200007</t>
  </si>
  <si>
    <t>Tikku, AA; Bell, RE; Studinger, M; Clarke, GKC; Tabacco, I; Ferraccioli, F</t>
  </si>
  <si>
    <t>Influx of meltwater subglacial Lake Concordia, East Antarctica</t>
  </si>
  <si>
    <t>ICE-SHEET; DOME C; WATER EXCHANGE; VOSTOK; DYNAMICS; FLOW</t>
  </si>
  <si>
    <t>We present evidence for melting at the base of the ice that overlies Lake Concordia, an 800 km(2) subglacial lake near Dome Concordia, East Antarctica, via a combination of glaciohydraulic melting (associated with the tilted ice ceiling and its influence on lake circulation/melting temperature) and melting by extreme strain heating (where the ice sheet is grounded). An influx of water is necessary to provide nutrients, material and biota to support subglacial lake ecosystems but has not been detected previously. Freezing is the dominant observed basal process at over 60% of the surface area above the lake. The total volume of accreted ice above the lake surface is estimated as 50-60 km(3), roughly 25-30% of the 200 +/- 40 km(3) estimated lake volume. Estimated rates of melting and freezing are very similar, +/- 2-6 mm a(-1). The apparent net freezing may reflect the present-day response of Lake Concordia to cooling associated with the Last Glacial Maximum, or a large influx of water either via a subglacial hydrological system or from additional melting of the ice sheet. Lake Concordia is an excellent candidate for subglacial exploration given active basal processes, proximity to the Dome Concordia ice core and traverse resupply route.</t>
  </si>
  <si>
    <t>Rensselaer Polytech Inst, Dept Earth &amp; Environm Sci, Troy, NY 12180 USA; Columbia Univ, Lamont Doherty Earth Observ, Palisades, NY 10964 USA; Univ British Columbia, Dept Earth &amp; Ocean Sci, Vancouver, BC V6T 1Z4, Canada; Univ Milan, Dept Earth Sci, I-20129 Milan, Italy; British Antarctic Survey, NERC, Cambridge CB3 0ET, England</t>
  </si>
  <si>
    <t>Rensselaer Polytechnic Institute; Columbia University; University of British Columbia; University of Milan; UK Research &amp; Innovation (UKRI); Natural Environment Research Council (NERC); NERC British Antarctic Survey</t>
  </si>
  <si>
    <t>Tikku, AA (corresponding author), Rensselaer Polytech Inst, Dept Earth &amp; Environm Sci, Troy, NY 12180 USA.</t>
  </si>
  <si>
    <t>tikkua@rpi.edu</t>
  </si>
  <si>
    <t>Ferraccioli, Fausto/0000-0002-9347-4736; Studinger, Michael/0000-0003-1265-4741</t>
  </si>
  <si>
    <t>NERC [bas010013] Funding Source: UKRI; Natural Environment Research Council [bas010013] Funding Source: researchfish</t>
  </si>
  <si>
    <t>INT GLACIOL SOC</t>
  </si>
  <si>
    <t>10.3189/172756505781829494</t>
  </si>
  <si>
    <t>WOS:000233397200009</t>
  </si>
  <si>
    <t>Stearns, LA; Jezek, KC; Van Der Veen, CJ</t>
  </si>
  <si>
    <t>Decadal-scale variations in ice flow along Whillans Ice Stream and its tributaries, West Antarctica</t>
  </si>
  <si>
    <t>MARGIN MIGRATION; VELOCITY; RADAR; SHEET; DYNAMICS; BALANCE; PATTERN; ONSET; COAST</t>
  </si>
  <si>
    <t>We investigate velocity changes occurring along Whillans Ice Stream (WIS) by comparing velocities derived from repeat aerial photographs acquired in 1985-89 (average date of 1987) to interferometric satellite radar (InSAR) velocities collected in 1997. Three different analysis methods are applied to the velocity data. First, temporal and spatial changes in velocities are correlated to identifiable features (flowlines, shear margins, bed features) visible on the 1997 RADARSAT Antarctic Mapping Project mosaic. Second, we relate velocity gradients to stresses via the flow law and, along with surface topography and ice-thickness data, apply the force-budget technique to determine the relative importance of driving stress, side drag and basal drag over time. Finally, the mass balance of the main part of WIS is determined for 1987 and 1997. Our results are consistent with previous studies that show an overall deceleration resulting in downstream thickening of the ice stream.</t>
  </si>
  <si>
    <t>Ohio State Univ, Bryd Polar Res Ctr, Columbus, OH 43210 USA; Ohio State Univ, Dept Geol Sci, Columbus, OH 43210 USA</t>
  </si>
  <si>
    <t>University System of Ohio; Ohio State University; University System of Ohio; Ohio State University</t>
  </si>
  <si>
    <t>Univ Maine, Climate Change Inst, 303 Bryand Global Sci Ctr, Orono, ME 04469 USA.</t>
  </si>
  <si>
    <t>10.3189/172756505781829610</t>
  </si>
  <si>
    <t>WOS:000233397200014</t>
  </si>
  <si>
    <t>Das, SB; Alley, RB</t>
  </si>
  <si>
    <t>Characterization and formation of melt layers in polar snow: Observations and experiments from West Antarctica</t>
  </si>
  <si>
    <t>SIPLE DOME; WATER-FLOW; ICE MELT; BALANCE; ISLAND; CORE; CAP</t>
  </si>
  <si>
    <t>Surface melting rarely occurs across most of the Antarctic ice sheet, away from the warmer coastal regions. Nonetheless, isolated melt features are preserved in the firn and ice in response to infrequent and short-lived melting events. An understanding of the formation and occurrence of these melt layers will help us to interpret records of past melt occurrences from polar ice cores such as the Siple Dome ice-core record from West Antarctica. A search in the near-surface firn in West Antarctica found that melt features are extremely rare, and consist of horizontal, laterally continuous, one to a few millimeter thick, ice layers with few air bubbles. The melt layers found date from the 1992/93 and 1991/92 summers. Field experiments to investigate changes in stratigraphy taking place during melt events reproduced melt features as seen in the natural stratigraphy. Melting conditions of varying intensity were created by passively heating the near-surface air for varying lengths of time inside a clear plastic hotbox. Melt layers formed due entirely to preferential flow and subsequent refreezing of meltwater from the surface into near-surface, fine-grained, crust layers. Continuous melt layers were formed experimentally when positive-degree-day values exceeded 1 degrees C-day, a value corresponding well with air-temperature records from automatic weather station sites where melt layers formed in the recent past.</t>
  </si>
  <si>
    <t>Penn State Univ, Inst Environm, University Pk, PA 16802 USA; Penn State Univ, Dept Geosci,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</si>
  <si>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</si>
  <si>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Woods Hole Oceanog Inst, Dept Geol &amp; Geophys, Woods Hole, MA 02543 USA.</t>
  </si>
  <si>
    <t>sdas@whoi.edu</t>
  </si>
  <si>
    <t>10.3189/172756505781829395</t>
  </si>
  <si>
    <t>994HD</t>
  </si>
  <si>
    <t>WOS:000234020900012</t>
  </si>
  <si>
    <t>Fourcade, MCM; Barnola, JM; Susini, J; Baker, R; Durand, G; de Angelis, M; Duval, P</t>
  </si>
  <si>
    <t>Application of micro-X-ray fluorescence to chemical mapping of polar ice</t>
  </si>
  <si>
    <t>SUBGLACIAL LAKE VOSTOK; SULFURIC-ACID; ANTARCTIC ICE; IMPURITIES; CHEMISTRY; SULFATE; IONS</t>
  </si>
  <si>
    <t>Synchrotron-based micro-X-ray fluorescence (mu XRF) equipment has been used to analyze impurities in polar ice. A customized sample holder has been developed and the mu XRF equipment has been adapted with a thermal control system to keep samples unaltered during analyses. Artificial ice samples prepared from ultra-pure water were analyzed to investigate possible contamination and/or experimental artefacts. Analyses of polar ice from Antarctica (Dome C and Vostok) confirm this mu XRF technique is non-destructive and sensitive. Experiments can be reproduced to confirm or refine results by focusing on interesting spots such as crystal grain boundaries or specific inclusions. Integration times and resolution can be adjusted to optimize sensitivity. Investigation of unstable particles is possible due to the short analysis time. In addition to identification of elements in impurities, mu XRF is able to determine their speciations. The accuracy and reliability of the results confirm the potential of this technique for research in glaciology.</t>
  </si>
  <si>
    <t>UJF, CNRS, Lab Glaciol &amp; Geophys Environm, F-38402 St Martin Dheres, France; European Synchrotron Radiat Facil, F-38043 Grenoble, France</t>
  </si>
  <si>
    <t>Fourcade, MCM (corresponding author), UJF, CNRS, Lab Glaciol &amp; Geophys Environm, 54 Rue Moliere,BP 96, F-38402 St Martin Dheres, France.</t>
  </si>
  <si>
    <t>fourcade@igge.obs.ujf-grenoble.fr</t>
  </si>
  <si>
    <t>Susini, Jean/HKV-4998-2023</t>
  </si>
  <si>
    <t>Morel, Marie-Christine/0000-0001-8975-2492; Durand, Gael/0000-0001-8979-2355</t>
  </si>
  <si>
    <t>10.3189/172756505781829340</t>
  </si>
  <si>
    <t>WOS:000234020900014</t>
  </si>
  <si>
    <t>Karlöf, L; Isaksson, E; Winther, JG; Gundestrup, N; Meijer, HAJ; Mulvaney, R; Pourchet, M; Hofstede, C; Lappegard, G; Pettersson, R; Van den Broeke, M; Van De Wal, RSW</t>
  </si>
  <si>
    <t>Karlof, Lars; Isaksson, Elisabeth; Winther, Jan-Gunnar; Gundestrup, Niels; Meijer, Harro A. J.; Mulvaney, Robert; Pourchet, Michel; Hofstede, Coen; Lappegard, Gaute; Pettersson, Rickard; Van den Broeke, Michiel; Van De Wal, Roderik S. W.</t>
  </si>
  <si>
    <t>Accumulation variability over a small area in east Dronning Maud Land, Antarctica, as determined from shallow firn cores and snow pits:: some implications for ice-core records</t>
  </si>
  <si>
    <t>POLAR ICE; SPATIAL VARIABILITY; KATABATIC WINDS; BOUNDARY-LAYER; CHEMISTRY; AEROSOL; AMUNDSENISEN</t>
  </si>
  <si>
    <t>We investigate and quantify the variability of snow accumulation rate around a medium-depth firn core (1160 m) drilled in east Dronning Maud Land, Antarctica (75 degrees 00'S, 15 degrees 00'E; 3470 m h.a.e. (ellipsoidal height)). We present accumulation data from five snow pits and five shallow (20 m) firn cores distributed within a 3.5-7 km distance, retrieved during the 2000/01 Nordic EPICA (European Project for Ice Coring in Antarctica) traverse. Snow accumulation rates estimated for shorter periods show higher spatial variance than for longer periods. Accumulation variability as recorded from the firn cores and snow pits cannot explain all the variation in the ion and isotope time series; other depositional and post-depositional processes need to be accounted for. Through simple statistical analysis we show that there are differences in sensitivity to these processes between the analyzed species. Oxygen isotopes and sulphate are more conservative in their post-depositional behaviour than the more volatile acids, such as nitrate and to some degree chloride and methanesulphonic acid. We discuss the possible causes for the accumulation variability and the implications for the interpretation of ice-core records.</t>
  </si>
  <si>
    <t>Polar Environm Ctr, Norwegian Polar Inst, N-9296 Tromso, Norway; Niels Bohr Inst Astron Phys &amp; Geophys, Dept Geophys, DK-2100 Copenhagen, Denmark; Univ Groningen, Ctr Isotope Res, NL-9747 AG Groningen, Netherlands; British Antarctic Survey, NERC, Cambridge CB3 0ET, England; UJF, CNRS, Lab Glaciol &amp; Geophys Environm, F-38402 St Martin Dheres, France; Univ Utrecht, Inst Marine &amp; Atmospher Res Utrecht, NL-3508 TA Utrecht, Netherlands; Univ Oslo, Dept Phys Geog, N-0316 Oslo, Norway; Stockholm Univ, Dept Phys Geog &amp; Quaternary Geol, SE-10691 Stockholm, Sweden</t>
  </si>
  <si>
    <t>Norwegian Polar Institute; University of Copenhagen; Niels Bohr Institute; University of Groningen; UK Research &amp; Innovation (UKRI); Natural Environment Research Council (NERC); NERC British Antarctic Survey; Centre National de la Recherche Scientifique (CNRS); Communaute Universite Grenoble Alpes; Universite Grenoble Alpes (UGA); Utrecht University; University of Oslo; Stockholm University</t>
  </si>
  <si>
    <t>Karlöf, L (corresponding author), Swix Sport AS, Res &amp; Dev, Serv Box, N-2626 Lillehammer, Norway.</t>
  </si>
  <si>
    <t>karlof@swixsport.no</t>
  </si>
  <si>
    <t>Van den Broeke, Michiel R./F-7867-2011; Meijer, Harro A J/A-5787-2012; van de wal, roderik/D-1705-2011; Mulvaney, Robert/K-3929-2012</t>
  </si>
  <si>
    <t>Van den Broeke, Michiel R./0000-0003-4662-7565; van de wal, roderik/0000-0003-2543-3892; Mulvaney, Robert/0000-0002-5372-8148; Meijer, Harro A.J./0000-0001-8744-5632</t>
  </si>
  <si>
    <t>10.3189/172756505781829232</t>
  </si>
  <si>
    <t>085MR</t>
  </si>
  <si>
    <t>WOS:000240608700001</t>
  </si>
  <si>
    <t>Jansen, D; Sandhäger, H; Rack, W</t>
  </si>
  <si>
    <t>Jansen, Daniela; Sandhaeger, Henner; Rack, Wolfgang</t>
  </si>
  <si>
    <t>Model experiments on large tabular iceberg evolution:: ablation and strain thinning</t>
  </si>
  <si>
    <t>RONNE ICE SHELF; TEMPERATURE</t>
  </si>
  <si>
    <t>Antarctic tabular icebergs are important active components of the ice-ocean system. To investigate the relevance of inherent ice dynamics to iceberg evolution, we developed a numerical model based on the fundamental equations of ice-shelf flow and heat transfer, forced by environmental parameters of the ice-ocean-atmosphere system. Model experiments with idealized icebergs of constant density show that the strain thinning rate for a typical iceberg with a thickness of 250 m and a temperature of -15 degrees C is about 1 m a(-1). Sensitivity studies for different scenarios of environmental conditions confirmed the reliability of our model. A 5 year simulation of the evolution of iceberg A-38B yielded a mean decrease in thickness from 220 m to 106.3 m, 95% of which was caused by basal melting, 1% by surface melting and 4% by strain thinning. We found iceberg spreading decelerating by about 75%, and ice temperatures being strongly affected by progressive erosion of the relatively warm basal layers and warming in the uppermost part. According to the model results, basal melting is the primary cause of change of iceberg geometry during drift, whereas strain thinning is only relevant in cold areas where basal melting is low.</t>
  </si>
  <si>
    <t>Jansen, D (corresponding author), Alfred Wegener Inst Polar &amp; Marine Res, POB 120161, D-27515 Bremerhaven, Germany.</t>
  </si>
  <si>
    <t>djansen@awi-bremerhaven.de</t>
  </si>
  <si>
    <t>Jansen, Daniela/AAG-2773-2019; Rack, Wolfgang/U-8898-2017</t>
  </si>
  <si>
    <t>Rack, Wolfgang/0000-0003-2447-377X; Jansen, Daniela/0000-0002-4412-5820</t>
  </si>
  <si>
    <t>10.3189/172756505781829313</t>
  </si>
  <si>
    <t>WOS:000240608700003</t>
  </si>
  <si>
    <t>Jezek, KC; Liu, HX</t>
  </si>
  <si>
    <t>Jezek, K. C.; Liu, H. X.</t>
  </si>
  <si>
    <t>Structure of southeastern Antarctic Peninsula ice shelves and ice tongues from synthetic aperture radar imagery</t>
  </si>
  <si>
    <t>GREENLAND; SHEET</t>
  </si>
  <si>
    <t>Examination of synthetic aperture radar data collected over the southeastern Antarctic Peninsula shows that features sometimes mapped as ice shelves are more likely composed of numerous ice tongues interspersed within a matrix of fast ice and icebergs. The tongues are formed by the seaward extension of numerous small mountain glaciers that drain from the Antarctic Peninsula. Once afloat, the tongues intermingle with a matrix of fast ice and brash. Examination of 1997 RADARSAT-1 image mosaics shows that southeastern Antarctic Peninsula composite-ice shelves covered an area of about 3500 km(2). Like ice tongues around the rest of Antarctica, these features are highly fragmented and likely to be susceptible to mechanical failure. One such composite shelf, located between New Redford and Wright Inlets, was observed to decrease in area by 1200 km(2) between 1997 and 2000.</t>
  </si>
  <si>
    <t>Ohio State Univ, Byrd Polar Res Ctr, Columbus, OH 43210 USA; Texas A&amp;M Univ, Dept Geog, College Stn, TX 77843 USA</t>
  </si>
  <si>
    <t>University System of Ohio; Ohio State University; Texas A&amp;M University System; Texas A&amp;M University College Station</t>
  </si>
  <si>
    <t>Jezek, KC (corresponding author), Ohio State Univ, Byrd Polar Res Ctr, 1090 Carmack Rd, Columbus, OH 43210 USA.</t>
  </si>
  <si>
    <t>jezek@iceberg.mps.ohio-state.edu</t>
  </si>
  <si>
    <t>10.3189/172756505781829296</t>
  </si>
  <si>
    <t>WOS:000240608700004</t>
  </si>
  <si>
    <t>Wolff, EW; Cook, E; Barnes, PRF; Mulvaney, R</t>
  </si>
  <si>
    <t>Wolff, Eric W.; Cook, Eliza; Barnes, Piers R. F.; Mulvaney, Robert</t>
  </si>
  <si>
    <t>Signal variability in replicate ice cores</t>
  </si>
  <si>
    <t>DOME-C; ANTARCTIC ICE; VOLCANISM; SNOW; STRATIGRAPHY; NORTHERN; ISOTOPE; AEROSOL; RECORDS; DECAY</t>
  </si>
  <si>
    <t>Replicate ice cores have been drilled about 10 m apart for the top 790 m of the ice sheet at Dome C, Antarctica. This provides an opportunity to examine inter-core variation of the signal for identical events, based on dielectric profile (DEP) comparisons. Comparison of the signal from the same core (a section 48 m long), measured 1 year apart, showed good reproducibility, with peak heights varying by around 10% between the two measurements. For the two replicate cores, identical peaks were matched and showed variability between cores of typically a factor 1.5. This can be explained based on the likelihood of significant time periods of missing accumulation in any single core at sites with such low snow accumulation rate. To synchronize core depths by matching peaks, it is essential to use the pattern of peaks, rather than just widely spaced individual strong peaks. To derive a quantitative volcanic index from these low-accumulation rate sites, it will be necessary to combine or average the results from several closely spaced parallel cores.</t>
  </si>
  <si>
    <t>British Antarctic Survey, NERC, Madingley Rd, Cambridge CB3 0ET, England</t>
  </si>
  <si>
    <t>Wolff, EW (corresponding author), British Antarctic Survey, NERC, Madingley Rd, Cambridge CB3 0ET, England.</t>
  </si>
  <si>
    <t>ewwo@bas.ac.uk</t>
  </si>
  <si>
    <t>Wolff, Eric W/D-7925-2014; Mulvaney, Robert/K-3929-2012; Barnes, Piers/F-1558-2010</t>
  </si>
  <si>
    <t>Wolff, Eric W/0000-0002-5914-8531; Cook, Eliza/0000-0001-7927-7974; Mulvaney, Robert/0000-0002-5372-8148; Barnes, Piers/0000-0002-7537-8759</t>
  </si>
  <si>
    <t>NERC [bas010001] Funding Source: UKRI; Natural Environment Research Council [bas010001] Funding Source: researchfish</t>
  </si>
  <si>
    <t>10.3189/172756505781829197</t>
  </si>
  <si>
    <t>WOS:000240608700014</t>
  </si>
  <si>
    <t>Zwally, HJ; Giovinetto, MB; Li, J; Cornejo, HG; Beckley, MA; Brenner, AC; Saba, JL; Yi, DH</t>
  </si>
  <si>
    <t>Zwally, H. Jay; Giovinetto, Mario B.; Li, Jun; Cornejo, Helen G.; Beckley, Matthew A.; Brenner, Anita C.; Saba, Jack L.; Yi, Donghui</t>
  </si>
  <si>
    <t>Mass changes of the Greenland and Antarctic ice sheets and shelves and contributions to sea-level rise: 1992-2002</t>
  </si>
  <si>
    <t>SNOW ACCUMULATION; SURFACE ELEVATION; SPATIAL-DISTRIBUTION; FIRN DENSIFICATION; JAKOBSHAVN ISBRAE; ALTIMETER DATA; POLAR ICE; BALANCE; GROWTH; MODEL</t>
  </si>
  <si>
    <t>Changes in ice mass are estimated from elevation changes derived from 10.5 years (Greenland) and 9 years (Antarctica) of satellite radar altimetry data from the European Remote-sensing Satellites ERS-1 and -2. For the first time, the dH/dt values are adjusted for changes in surface elevation resulting from temperature-driven variations in the rate of firn compaction. The Greenland ice sheet is thinning at the margins (-42 +/- 2 Gt a(-1) below the equilibrium-line altitude (ELA)) and growing inland (+53 +/- 2 Gt a(-1) above the ELA) with a small overall mass gain (+11 +/- 3 Gt a(-1); -0.03 mm a(-1) SLE (sea-level equivalent)). The ice sheet in West Antarctica (WA) is losing mass (-47 +/- 4 Gt a(-1)) and the ice sheet in East Antarctica (EA) shows a small mass gain (+16 +/- 11 Gt a(-1)) for a combined net change of -31 +/- 12 Gt a(-1) (+0.08 mm a(-1) SLE). The contribution of the three ice sheets to sea level is +0.05 +/- 0.03 mm a(-1). The Antarctic ice shelves show corresponding mass changes of -95 +/- 11 Gt a(-1) in WA and +142 +/- 10 Gt a(-1) in EA. Thinning at the margins of the Greenland ice sheet and growth at higher elevations is an expected response to increasing temperatures and precipitation in a warming climate. The marked thinnings in the Pine Island and Thwaites Glacier basins of WA and the Totten Glacier basin in EA are probably ice-dynamic responses to long-term climate change and perhaps past removal of their adjacent ice shelves. The ice growth in the southern Antarctic Peninsula and parts of EA may be due to increasing precipitation during the last century.</t>
  </si>
  <si>
    <t>NASA, Goddard Space Flight Ctr, Cryspher Sci Branch, Greenbelt, MD 20771 USA; SGT Inc, NASA, Goddard Space Flight Ctr, Greenbelt, MD 20771 USA; Sci Syst &amp; Applicat Inc, Lanham, MD 20706 USA</t>
  </si>
  <si>
    <t>National Aeronautics &amp; Space Administration (NASA); NASA Goddard Space Flight Center; National Aeronautics &amp; Space Administration (NASA); NASA Goddard Space Flight Center; Stinger Ghaffarian Technologies, Inc. (SGT); Science Systems and Applications Inc</t>
  </si>
  <si>
    <t>Zwally, HJ (corresponding author), NASA, Goddard Space Flight Ctr, Cryspher Sci Branch, Code 614-1, Greenbelt, MD 20771 USA.</t>
  </si>
  <si>
    <t>zwally@icesat2.gsfc.nasa.gov</t>
  </si>
  <si>
    <t>Yi, Donghui/0000-0001-6363-5538</t>
  </si>
  <si>
    <t>10.3189/172756505781829007</t>
  </si>
  <si>
    <t>085MS</t>
  </si>
  <si>
    <t>WOS:000240608800001</t>
  </si>
  <si>
    <t>Anderson, PS</t>
  </si>
  <si>
    <t>Anderson, P. S.</t>
  </si>
  <si>
    <t>Ice-shelf microtopography observed using satellite thermal imagery</t>
  </si>
  <si>
    <t>ANTARCTICA; HALLEY</t>
  </si>
  <si>
    <t>Small anomalies in ice-shelf surface temperature correlate with measured microtopography. Clear-sky thermal infrared (TIR) images of the Brunt Ice Shelf, Antarctica, frequently show persistent patterns of anomalous snow surface temperatures. The anomalous signatures appear as stripes orientated along the ice flowline and are of the order of 5 K in magnitude. The positional persistence of the stripes suggests a topographic mechanism for their formation. In order to test this hypothesis, the TIR stripes are compared to a digital terrain model (DTM) derived from a kinematic global positioning system survey of the ice shelf. Ridges and valleys are seen in the DTM; the ridges correspond to the warmer TIR stripes, the valleys to the colder areas. In order to investigate the mechanism that couples elevation with thermal signature, two comparable but contrasting sets of clear-sky infrared images are presented, along with surface meteorological data. The first shows strong TIR stripes, whilst the second, despite similar snow- and air-temperature profiles, shows a weaker signature and smaller sensible-heat flux, H. Two possible mechanisms are presented which explain the TIR signature: surface elevation mapping onto the vertical air-temperature profile or, alternatively, enhanced surface sensible-heat flux on elevated areas. At present, there is insufficient information to resolve this uncertainty.</t>
  </si>
  <si>
    <t>Anderson, PS (corresponding author), British Antarctic Survey, NERC, Madingley Rd, Cambridge CB3 0ET, England.</t>
  </si>
  <si>
    <t>philip.s.anderson@bas.ac.uk</t>
  </si>
  <si>
    <t>NERC [bas010003] Funding Source: UKRI; Natural Environment Research Council [bas010003] Funding Source: researchfish</t>
  </si>
  <si>
    <t>10.3189/172756505781829025</t>
  </si>
  <si>
    <t>WOS:000240608800002</t>
  </si>
  <si>
    <t>Fox, AJ; Vaughan, DG</t>
  </si>
  <si>
    <t>Fox, Adrian J.; Vaughan, David G.</t>
  </si>
  <si>
    <t>The retreat of Jones Ice Shelf, Antarctic Peninsula</t>
  </si>
  <si>
    <t>BREAK-UP; CLIMATE; DISINTEGRATION</t>
  </si>
  <si>
    <t>In recent decades, several ice shelves along the Antarctic Peninsula have diminished in size as a result of climate warming. Using aerial photographic, satellite and survey data we document a similar retreat of Jones ice Shelf, which was another small ice shelf on the west coast of the Antarctic Peninsula. This ice shelf was roughly stable between 1947 and 1969, but in the early 1970s it began to retreat and had completely disappeared by early 2003. Jones Ice Shelf has two ice fronts only a few kilometres apart and its retreat provides a unique opportunity to examine how different ice fronts retreat when subjected to similar climate forcing. We mapped the retreat of both the east and west ice fronts of)ones Ice Shelf and found that, although individual episodes of retreat may be related to particularly warm summers, the overall progress of retreat of the two ice fronts has been rather different. This suggests that in this case the course of retreat is controlled by the geometry of the embayment and location of pinning points as well as climatic events.</t>
  </si>
  <si>
    <t>Fox, AJ (corresponding author), British Antarctic Survey, NERC, Madingley Rd, Cambridge CB3 0ET, England.</t>
  </si>
  <si>
    <t>a.fox@bas.ac.uk</t>
  </si>
  <si>
    <t>NERC [bas010002, bas010012] Funding Source: UKRI; Natural Environment Research Council [bas010012, bas010002] Funding Source: researchfish</t>
  </si>
  <si>
    <t>10.3189/172756505781829043</t>
  </si>
  <si>
    <t>WOS:000240608800005</t>
  </si>
  <si>
    <t>Samyn, D; Fitzsimons, SJ; Lorrain, RD</t>
  </si>
  <si>
    <t>Samyn, Denis; Fitzsimons, Sean J.; Lorrain, Reginald D.</t>
  </si>
  <si>
    <t>Strain-induced phase changes within cold basal ice from Taylor Glacier, Antarctica, indicated by textural and gas analyses</t>
  </si>
  <si>
    <t>SUB-FREEZING TEMPERATURES; WATER-VEIN SYSTEM; POLYCRYSTALLINE ICE; CENTRAL GREENLAND; CRYSTAL SIZE; POLAR ICE; DEFORMATION; SHEET; CORE; AIR</t>
  </si>
  <si>
    <t>This paper reports detailed textural and gas measurements conducted in cold basal ice (-17 degrees C) from the margin of Taylor Glacier, an outlet glacier of the East Antarctic ice sheet. The analyzed samples were retrieved from a basal ice sequence excavated at the end of a subglacial tunnel dug near the glacier snout. The basal sequence exhibits two contrasting ice facies, defined as the englacial and stratified facies. On the one hand, analysis of ice crystal textures from the basal ice sequence provides evidence for localized ductile deformation, especially within the stratified facies where significant dynamic recrystallization was detected. On the other hand, high-resolution gas analyses reveal that strong changes in gas composition occurred at the structural interfaces of the stratified facies. These gas composition changes are typical of melting-refreezing processes but are not associated with any significant loss of gas volume. Given the specific subglacial thermal conditions at the margin of Taylor Glacier, we interpret this phenomenon as resulting from microscopic phase changes involving selective gas redistribution through the pre-melt phase. It is argued that such processes may play an important role in the post-genetic geochemical evolution of cold debris-laden ice and may be enhanced through intense strain conditions.</t>
  </si>
  <si>
    <t>Univ Libre Bruxelles, Dept Sci Terre &amp; Environm, Lab Glaciol, B-1050 Brussels, Belgium; Univ Otago, Dept Geog, Dunedin, New Zealand</t>
  </si>
  <si>
    <t>Universite Libre de Bruxelles; University of Otago</t>
  </si>
  <si>
    <t>Samyn, D (corresponding author), Univ Libre Bruxelles, Dept Sci Terre &amp; Environm, Lab Glaciol, CP 160-03,Ave FD Roosevelt 50, B-1050 Brussels, Belgium.</t>
  </si>
  <si>
    <t>10.3189/172756505781829098</t>
  </si>
  <si>
    <t>WOS:000240608800011</t>
  </si>
  <si>
    <t>Dodds, K</t>
  </si>
  <si>
    <t>The great trek: New Zealand and the British/Commonwealth 1955-58 trans-antarctic expedition</t>
  </si>
  <si>
    <t>This article examines New Zealand's role in the British/Commonwealth Trans-Antarctic Expedition (TAE, 1955-58), the first mechanised crossing of Antarctica. Despite much interest in New Zealand's evolving relationship with Britain, the Commonwealth and the United States after 1945, the Antarctic dimension has received little attention. New Zealand's participation in the TAE, alongside activities attached to the International Geophysical Year, strengthened its claims to sovereignty in the Ross Dependency. Instead, popular and media interpretations of the TAE concentrated on perceived rivalries between the two leaders, Vivian Fuchs and Edmund Hillary, thus severely straining Anglo-New Zealand polar relations despite the successful crossing of Antarctica. The fortieth anniversary celebration of the TAE at Scott Base failed to consider critically how New Zealand's relationship with the Antarctic was (and is) imagined and represented.</t>
  </si>
  <si>
    <t>Univ London Royal Holloway &amp; Bedford New Coll, Dept Geog, Egham TW20 0EX, Surrey, England</t>
  </si>
  <si>
    <t>University of London; Royal Holloway University London</t>
  </si>
  <si>
    <t>Univ London Royal Holloway &amp; Bedford New Coll, Dept Geog, Egham TW20 0EX, Surrey, England.</t>
  </si>
  <si>
    <t>k.dodds@rhul.ac.uk</t>
  </si>
  <si>
    <t>ROUTLEDGE JOURNALS, TAYLOR &amp; FRANCIS LTD</t>
  </si>
  <si>
    <t>2-4 PARK SQUARE, MILTON PARK, ABINGDON OX14 4RN, OXON, ENGLAND</t>
  </si>
  <si>
    <t>1743-9329</t>
  </si>
  <si>
    <t>10.1080/0308653042000329030</t>
  </si>
  <si>
    <t>904FC</t>
  </si>
  <si>
    <t>WOS:000227480500005</t>
  </si>
  <si>
    <t>Klok, CJ; Chown, SL</t>
  </si>
  <si>
    <t>Inertia in physiological traits:: Embryonopsis halticella caterpillars (Yponomeutidae) across the Antarctic Polar Frontal Zone</t>
  </si>
  <si>
    <t>JOURNAL OF INSECT PHYSIOLOGY</t>
  </si>
  <si>
    <t>acclimation; cold hardiness; desiccation resistance; thermal tolerance</t>
  </si>
  <si>
    <t>INSECT COLD-HARDINESS; MARION-ISLAND; DROSOPHILA-MELANOGASTER; THERMAL TOLERANCE; WATER-BALANCE; SOUTH-GEORGIA; CLIMATIC VARIABILITY; SEASONAL-VARIATION; OXYGEN-UPTAKE; RESISTANCE</t>
  </si>
  <si>
    <t>Geographic variation is characteristic of many physiological traits at the population and species levels. However, several recent studies have suggested that population-level variation is either limited or that it is mostly a consequence of phenotypic plasticity. Here we show that there is considerable physiological inertia in cold hardiness, upper thermal tolerance limits and desiccation resistance in caterpillars of the sub-Antarctic moth Embryonopsis halticella Eaton, such that populations from two climatically different islands are physiologically very similar, Both populations are moderately chill tolerant, with no difference in the supercooling points of caterpillars (-17 to -20degreesC). Within their host plants caterpillars of both populations freeze at substantially higher, and statistically equivalent temperatures (-9.5 to -11.5 degreesC). The populations also have similar upper lethal limits (38 degreesC), and survival times of dry conditions (6-170 h depending on mass). The previously inexplicably low freezing point of caterpillars at the climatically less severe Marion Island seems likely a consequence of physiological inertia given that the freezing point of caterpillars within their hosts is only a few degrees below absolute minima at the older, and colder, Heard Island. Lack of adaptive geographic variation in physiological traits has consequences for models of range limits, and highlights the importance of exploring phenotypic plasticity as a response to climatic variation. (C) 2005 Elsevier Ltd. All rights reserved.</t>
  </si>
  <si>
    <t>Univ Stellenbosch, Dept Bot &amp; Zool, Spatial Physiol &amp; Conservat Ecol Grp, ZA-7602 Matieland, South Africa</t>
  </si>
  <si>
    <t>Univ Stellenbosch, Dept Bot &amp; Zool, Spatial Physiol &amp; Conservat Ecol Grp, Privage Bag 11, ZA-7602 Matieland, South Africa.</t>
  </si>
  <si>
    <t>0022-1910</t>
  </si>
  <si>
    <t>1879-1611</t>
  </si>
  <si>
    <t>J INSECT PHYSIOL</t>
  </si>
  <si>
    <t>J. Insect Physiol.</t>
  </si>
  <si>
    <t>10.1016/j.jinsphys.2004.11.011</t>
  </si>
  <si>
    <t>Entomology; Physiology; Zoology</t>
  </si>
  <si>
    <t>898NR</t>
  </si>
  <si>
    <t>WOS:000227084000011</t>
  </si>
  <si>
    <t>Azuma, N</t>
  </si>
  <si>
    <t>Global warming and basal sliding of antarctic ice sheet</t>
  </si>
  <si>
    <t>JOURNAL OF JAPANESE SOCIETY OF TRIBOLOGISTS</t>
  </si>
  <si>
    <t>Antarctica; basal sliding; ice stream; driving stress; fill deformation; sea level change</t>
  </si>
  <si>
    <t>CLIMATE; STREAM; INSTABILITY; CORE</t>
  </si>
  <si>
    <t>Nagaoka Univ Technol, Dept Engn Mech, Nagaoka, Niigata 9402188, Japan</t>
  </si>
  <si>
    <t>Nagaoka University of Technology</t>
  </si>
  <si>
    <t>Azuma, N (corresponding author), Nagaoka Univ Technol, Dept Engn Mech, 1603-1 Kamitomioka, Nagaoka, Niigata 9402188, Japan.</t>
  </si>
  <si>
    <t>azuma@mech.nagaokaut.ac.jp</t>
  </si>
  <si>
    <t>JAPAN SOC TRIBOLOGISTS</t>
  </si>
  <si>
    <t>KIKAI SHINKO KAIKAN NO 407-2 5-8 SHIBA-KOEN 3-CHOME MINATO-KU, TOKYO, 105, JAPAN</t>
  </si>
  <si>
    <t>0915-1168</t>
  </si>
  <si>
    <t>J JPN SOC TRIBOLOGIS</t>
  </si>
  <si>
    <t>J. Jpn. Soc. Tribol.</t>
  </si>
  <si>
    <t>989LF</t>
  </si>
  <si>
    <t>WOS:000233674500007</t>
  </si>
  <si>
    <t>Meredith, MP; Brandon, MA; Murphy, EJ; Trathan, PN; Thorpe, SE; Bone, DG; Chernyshkov, PP; Sushin, VA</t>
  </si>
  <si>
    <t>Variability in hydrographic conditions to the east and northwest of South Georgia, 1996-2001</t>
  </si>
  <si>
    <t>JOURNAL OF MARINE SYSTEMS</t>
  </si>
  <si>
    <t>South Georgia; Southern Antarctic Circumpolar Current Front; El Nino</t>
  </si>
  <si>
    <t>ANTARCTIC CIRCUMPOLAR CURRENT; SEA-ICE; INTERANNUAL VARIABILITY; MACARONI PENGUINS; CURRENT FRONT; SCOTIA SEA; KRILL; WATER; TRANSPORT; ABUNDANCE</t>
  </si>
  <si>
    <t>Six years of high-resolution hydrographic data from the eastern and northwestern sides of South Georgia (southwest Atlantic) are used to study the changing circulation and water mass properties of the region. One year of data from these locations was used previously to describe the oceanographic conditions at those times; using the much greater volume of data now available, we identify which features appear temporally robust and which are transient, and begin addressing topics relating to the forcing of the inter-annual variability and the potential consequences for the local ecosystem. Waters on the shelf and those over the adjacent deep ocean invariably have different hydrographic properties, though the transition between them can be abrupt or gradual. The onshelf/offshelf differences vary greatly from year to year, due to the combined influences of local and remote processes. There are several instances of strong physical coupling between the eastern and northwestern sides of South Georgia; this offers potential for distinguishing physically-induced ecosystems changes separately from biologically-induced ecosystems changes. On the northeast side of the shelf, close to Cumberland Bay, there is evidence of an often intense, but variable, cyclonic circulation that is the result of interaction with the local bathymetry. This may act as a retention mechanism, and enhance local productivity. Two examples of extreme cold anomalies are present in the series of measurements. One of these (in 2000/2001) affected a limited area at the eastern side of the region surveyed and was due to an intrusion of the Southern Antarctic Circumpolar Current Front. The other (in early 1998) was due to the combined effects of the passage of a large-scale ocean anomaly that had its origins upstream in the Pacific Ocean, and strong air/sea interaction. Both of these were associated with the strong 1997/1998 El Nino event. Whilst previous studies have observed a link between El Nino forcing and ocean response around South Georgia with a temporal lag of around 3 years, we observe a much more rapid response to the extremely strong 1997/1998 El Nino event. This indicates that the ocean and ecosystem around South Georgia are more immediately susceptible to extreme instances of remote climatic forcing than had been supposed. (C) 2004 Elsevier B.V. All rights reserved.</t>
  </si>
  <si>
    <t>Bidston Observ, Proudman Oceanog Lab, Wirral CH43 7RA, Merseyside, England; Open Univ, Dept Earth Sci, Milton Keynes MK7 6AA, Bucks, England; British Antarctic Survey, Cambridge CB3 0ET, England; Atlantic Sci Res Inst Marine Fisheries &amp; Oceanog, Kaliningrad 236000, Russia</t>
  </si>
  <si>
    <t>NERC National Oceanography Centre; Open University - UK; UK Research &amp; Innovation (UKRI); Natural Environment Research Council (NERC); NERC British Antarctic Survey; Research lnstitute of Fisheries &amp; Oceanography</t>
  </si>
  <si>
    <t>Bidston Observ, Proudman Oceanog Lab, Wirral CH43 7RA, Merseyside, England.</t>
  </si>
  <si>
    <t>mmm@pol.ac.uk</t>
  </si>
  <si>
    <t>Brandon, Mark A/A-5804-2010; murphy, eugene/GZL-1620-2022</t>
  </si>
  <si>
    <t>Brandon, Mark/0000-0002-7779-0958; Thorpe, Sally/0000-0002-5193-6955; Meredith, Michael/0000-0002-7342-7756</t>
  </si>
  <si>
    <t>0924-7963</t>
  </si>
  <si>
    <t>1879-1573</t>
  </si>
  <si>
    <t>J MARINE SYST</t>
  </si>
  <si>
    <t>J. Mar. Syst.</t>
  </si>
  <si>
    <t>10.1016/j.jmarsys.2004.05.005</t>
  </si>
  <si>
    <t>Geosciences, Multidisciplinary; Marine &amp; Freshwater Biology; Oceanography</t>
  </si>
  <si>
    <t>Geology; Marine &amp; Freshwater Biology; Oceanography</t>
  </si>
  <si>
    <t>885KJ</t>
  </si>
  <si>
    <t>WOS:000226155200008</t>
  </si>
  <si>
    <t>Scherer, RP; Sjunneskog, CM; Iverson, NR; Hooyer, TS</t>
  </si>
  <si>
    <t>Frustules to fragments, diatoms to dust: How degradation of microfossil shape and microstructures can teach us how ice sheets work</t>
  </si>
  <si>
    <t>JOURNAL OF NANOSCIENCE AND NANOTECHNOLOGY</t>
  </si>
  <si>
    <t>Antarctica; diatom; fragmentation; ice sheet models; micromorphology; ring shear; Ross Sea; west Antarctic ice sheet</t>
  </si>
  <si>
    <t>TILLS</t>
  </si>
  <si>
    <t>In a laboratory experiment we investigated micro- and nanoscale changes in fossil diatom valves and in the texture of diatomaceous sediments that result from ice sheet overburden and subglacial shearing. Our experiment included compression and shearing of Antarctic diatom-rich sediments in a ring shear device and comparison of experimental samples with natural glacial sediments from the Antarctic continental shelf. The purpose of the experiment is to establish objective criteria for analyzing subglacial processes and interpreting the origin of glacial-geologic features on the Antarctic continental shelf. We find distinct changes resulting from different glacial settings, with respect to whole diatom frustules, diatom micromorphology, and microtextural properties of sedimentary units. By providing constraints on subglacial shearing, these observations of genetically controlled micro- and nanoscale diatom structures and architecture are contributing to the understanding of large-scale glacial processes, aiding the development of models of modern ice sheet processes, and guiding interpretation of past ice sheet configurations.</t>
  </si>
  <si>
    <t>No Illinois Univ, De Kalb, IL 60115 USA; Iowa State Univ, Ames, IA 50011 USA; Univ Wisconsin, Wisconsin Geol Survey, Madison, WI 53705 USA</t>
  </si>
  <si>
    <t>Northern Illinois University; Iowa State University; University of Wisconsin System; University of Wisconsin Madison</t>
  </si>
  <si>
    <t>No Illinois Univ, De Kalb, IL 60115 USA.</t>
  </si>
  <si>
    <t>AMER SCIENTIFIC PUBLISHERS</t>
  </si>
  <si>
    <t>VALENCIA</t>
  </si>
  <si>
    <t>26650 THE OLD RD, STE 208, VALENCIA, CA 91381-0751 USA</t>
  </si>
  <si>
    <t>1533-4880</t>
  </si>
  <si>
    <t>1533-4899</t>
  </si>
  <si>
    <t>J NANOSCI NANOTECHNO</t>
  </si>
  <si>
    <t>J. Nanosci. Nanotechnol.</t>
  </si>
  <si>
    <t>10.1166/jnn.2005.016</t>
  </si>
  <si>
    <t>Chemistry, Multidisciplinary; Nanoscience &amp; Nanotechnology; Materials Science, Multidisciplinary; Physics, Applied; Physics, Condensed Matter</t>
  </si>
  <si>
    <t>Chemistry; Science &amp; Technology - Other Topics; Materials Science; Physics</t>
  </si>
  <si>
    <t>891OV</t>
  </si>
  <si>
    <t>WOS:000226591300014</t>
  </si>
  <si>
    <t>Song, WB</t>
  </si>
  <si>
    <t>Taxonomic description of two new marine oligotrichous ciliates (Protozoa, Ciliophora)</t>
  </si>
  <si>
    <t>Oligotrichida; marine ciliate; Strombidium wilberti nov spec.; Strombidium petzi nov spec.</t>
  </si>
  <si>
    <t>FAMILY STROMBIDIIDAE CILIOPHORA; ISLES-OF-SHOALS; SULCATUM CLAPAREDE; COASTAL WATERS; N-SP; MORPHOLOGY; INFRACILIATURE; REDESCRIPTIONS; LACHMANN; ECOLOGY</t>
  </si>
  <si>
    <t>The morphology and ciliary pattern of a new marine oligotrichous ciliate, Strombidium wilberti nov. spec., collected from the littoral area off Qingdao, North China, are described from live observations and after protargol impregnation. This new species is characterized by: about 45-60 x 35-50 mum in vivo with truncated obconical body shape and conspicuous distended cell surface which covers the posterior half of the cell; buccal cavity extending posteriorly to about one-third of body length; about eight buccal and 15 collar membranelles; girdle kinety completely closed, consisting of ca 60 dikinetids; ventral kinety conspicuously long with about 30 densely packed dikinetids, which extends anteriorly to girdle area; extrusomes about 20 mum long, grouped in rows and arranged anterior to girdle kinety; single globular macronucleus. Related nominal congeners are compared and discussed. The Antarctic morphotype described by Petz et al. (1995) as Strombidium emergens (Leegaard, 1915) Kahl, 1932 is not conspecific with the original form and is hence recognized as a new member of this genus, Strombidium petzi nov. spec. The diagnosis for this new organism: large marine Strombidium ca 95-110 x 60-65 mum in vivo with elongate elliptical body shape and conspicuously shallow oral cavity. Girdle kinety continuous on ventral side with ca 100 dikinetids; ventral kinety extending from posterior area almost to girdle kinety, consisting of more than 20 dikinetids; four to five buccal and 14-15 collar membranelles. Macronucleus oval in shape; one subequatorial girdle of extrusomes.</t>
  </si>
  <si>
    <t>Ocean Univ China, KLM, Lab Protozool, Qingdao 266003, Peoples R China</t>
  </si>
  <si>
    <t>Song, WB (corresponding author), Ocean Univ China, KLM, Lab Protozool, Qingdao 266003, Peoples R China.</t>
  </si>
  <si>
    <t>wsong@ouc.edu.cn</t>
  </si>
  <si>
    <t>4 PARK SQUARE, MILTON PARK, ABINGDON OX14 4RN, OXON, ENGLAND</t>
  </si>
  <si>
    <t>10.1080/0022293042000195966</t>
  </si>
  <si>
    <t>884AI</t>
  </si>
  <si>
    <t>WOS:000226056600001</t>
  </si>
  <si>
    <t>Kuklinski, P; Barnes, DKA</t>
  </si>
  <si>
    <t>Microhabitat diversity of Svalbard bryozoa</t>
  </si>
  <si>
    <t>Arctic; biodiversity; Kongsfjorden; substratum-bryozoan association</t>
  </si>
  <si>
    <t>SIGNY ISLAND; KONGSFJORDEN; COMMUNITIES; EPIBIOTA; FAUNA</t>
  </si>
  <si>
    <t>Bryozoans are one of the major macrofaunal groups of the high polar regions. Here we present data on the nature of bryozoan assemblages in the Svalbard Archipelago sampled over 6 years between 1997 and 2002. Samples were collected with use of Van Veen grab, dredge and Scuba diving at depths ranging from 0 to 268 m. Among examined material (5026 items) bryozoans were present on one type of abiotic (stones) and 40 types of biotic substrata. The biotic substrata we investigated included algae (12 taxa) and invertebrates (28 taxa: Hydrozoa, Gastropoda, Bivalvia, Polychaeta, Crustacea, Ascidiacea, other Bryozoa). Both a priori ANOSIM (Global R=0.512, P=0.001) and cluster analyses reveal differences between the assemblages on different types of substrata. Cluster analyses distinguish two distinct groups of substrata. The first (stable) included stones, molluscs and Balanus balanus whilst the second (flexible) consisted of algae, hydrozoans and bryozoans. Bryozoan assemblages which colonized different substrata, varied in terms of species composition and their dominance. Bryozoan species were categorized as generalists, low-specificity epibiotic species or locally abundant background species. No species were found to be substratum-specific to any type. Among substrata with the richest bryozoan fauna were stones (156 taxa), Chlamys islandica (68) and Balanus balanus (62). There were clear patterns in the distribution of substrata colonized by bryozoans within the fiord system: those shallow near the mouth were rich whilst those in deeper water were depauperate. We consider environmental gradients such as siltation and processes related to depth to be responsible for such patterns.</t>
  </si>
  <si>
    <t>Polish Acad Sci, Inst Oceanol, PL-81712 Sopot, Poland; Univ Ctr Svalbard, Longyearbyen, Norway; British Antarctic Survey, Cambridge CB3 0ET, England</t>
  </si>
  <si>
    <t>Polish Academy of Sciences; Institute of Oceanology of the Polish Academy of Sciences; University Centre Svalbard (UNIS); UK Research &amp; Innovation (UKRI); Natural Environment Research Council (NERC); NERC British Antarctic Survey</t>
  </si>
  <si>
    <t>Kuklinski, P (corresponding author), Polish Acad Sci, Inst Oceanol, Ul Powstancow Warszawy 55, PL-81712 Sopot, Poland.</t>
  </si>
  <si>
    <t>kuki@iopan.gda.pl</t>
  </si>
  <si>
    <t>Kuklinski, Piotr/0000-0002-1507-215X</t>
  </si>
  <si>
    <t>10.1080/00222930400001350</t>
  </si>
  <si>
    <t>892QV</t>
  </si>
  <si>
    <t>WOS:000226666000003</t>
  </si>
  <si>
    <t>Cantero, ALP; Vervoort, W</t>
  </si>
  <si>
    <t>Species of Schizotricha Allman, 1883 (Cnidaria: Hydrozoa: Halopterididae) from US Antarctic expeditions with the description of two new species</t>
  </si>
  <si>
    <t>Antarctic Ocean; biogeography; ecology; hydroids; systematics</t>
  </si>
  <si>
    <t>OSWALDELLA STECHOW</t>
  </si>
  <si>
    <t>Twelve species of the genus Schizotricha Allman have been studied, two of which are new to science (Schizotricha heteromera sp. nov. and S. trinematotheca sp. nov.). The material studied was collected by several US Antarctic expeditions. Each new species is described and figured, the systematic position amongst allied species discussed and available data concerning autecology and geographical distribution given. The remaining 10 species are considered regarding diagnosis, autecology and geographical distribution. Finally, a general survey of the bathymetrical and biogeographical distribution of the known species of Schizotricha is given.</t>
  </si>
  <si>
    <t>Univ Valencia, Inst Cavanilles Biodivers &amp; Biol Evolut, Valencia 46071, Spain; Natl Museum Nat Hist, Leiden, Netherlands</t>
  </si>
  <si>
    <t>University of Valencia</t>
  </si>
  <si>
    <t>Cantero, ALP (corresponding author), Univ Valencia, Inst Cavanilles Biodivers &amp; Biol Evolut, Apdo Correos 22085, Valencia 46071, Spain.</t>
  </si>
  <si>
    <t>Alvaro.L.Pena@uv.es</t>
  </si>
  <si>
    <t>Cantero, Álvaro Luis Peña/F-7888-2016</t>
  </si>
  <si>
    <t>Pena Cantero, Alvaro/0000-0003-3056-6673</t>
  </si>
  <si>
    <t>10.1080/00222930400001541</t>
  </si>
  <si>
    <t>895BN</t>
  </si>
  <si>
    <t>WOS:000226836000001</t>
  </si>
  <si>
    <t>Wilbert, N; Song, W</t>
  </si>
  <si>
    <t>New contributions to the marine benthic ciliates from the Antarctic area, including description of seven new species (Protozoa, Ciliophora)</t>
  </si>
  <si>
    <t>Antarctic; benthic ciliates; new species; taxonomy and morphology</t>
  </si>
  <si>
    <t>FAMILY STROMBIDIIDAE CILIOPHORA; NOV-SPEC; TAXONOMIC DESCRIPTIONS; SULCATUM CLAPAREDE; WEDDELL SEA; CHINA SEA; GEN-N; MORPHOLOGY; MORPHOGENESIS; CYRTOPHORIDA</t>
  </si>
  <si>
    <t>Twenty-six marine benthic ciliates including seven new species were isolated from King George Island, Antarctic. The morphology and taxonomy of 19 of them are described in the present paper: Aegyriana paroliva, Amphileptus sp., Amphisiella antarctica nov. spec., Condylostoma cf. magnum, Dysteria parovalis nov. spec., Folliculina ? sp., Hartmannula cf. angustipilosa, Hemigastrostyla szaboi nov. spec., Heterostentor coeruleus, Holosticha sp., Intranstylum antarcticum nov. spec., Metaurostylopsis rubra, Orthodonella shenae, Philasterides cf. armatalis, Pithites pelagicus nov. spec., Pleuronema coronatum, Strombidium apolatum nov. spec., Telotrochidium sp., and Thigmokeronopsis magna nov. spec. Based on the new observations, an improved diagnosis for the genus Aegyriana is suggested: dorsoventrally flattened Dysteriidae with tail-shaped podite, which is positioned subcaudally in a glabrous region within somatic kinetics; oral structure in two parts: ca three close-set fragments on right and one preoral kinety on left-, left postoral kineties shortened posteriorly and continuous with right ones, leaving no median gap or suture; cytopharyngeal rods dominant. According to the new understanding and information obtained, a refined diagnosis of the genus Hemigastrostyla is also suggested: hypotrich with Oxytricha-like cirral pattern; eight to ten frontal (including one buccal) and five to seven ventral cirri; five transverse and three caudal cirri; no right-lateral anlagen of dorsal kineties occurring and the old adoral zone will be partly replaced by newly formed structure during morphogenesis; dorsal cilia located in small pits, fibre system highly developed; marine habitat.</t>
  </si>
  <si>
    <t>Univ Bonn, Inst Zool, D-53115 Bonn, Germany; Ocean Univ China, Lab Protozool, Qingdao, Peoples R China</t>
  </si>
  <si>
    <t>University of Bonn; Ocean University of China</t>
  </si>
  <si>
    <t>Wilbert, N (corresponding author), Univ Bonn, Inst Zool, Poppelsdorfer Schloss, D-53115 Bonn, Germany.</t>
  </si>
  <si>
    <t>Wilbert@uni-bonn.de</t>
  </si>
  <si>
    <t>10.1080/00222930400001509</t>
  </si>
  <si>
    <t>897CV</t>
  </si>
  <si>
    <t>WOS:000226982500001</t>
  </si>
  <si>
    <t>Markhaseva, EL; Ferrari, FD</t>
  </si>
  <si>
    <t>New species of Lucicutia and taxonomic status of L-grandis (Copepoda, Calanoida, Lucicutiidae)</t>
  </si>
  <si>
    <t>Calanoida; distribution; Lucicutia; new species; taxonomy</t>
  </si>
  <si>
    <t>OXYGEN MINIMUM ZONE; ARABIAN-SEA; LOWER INTERFACE; ECOLOGY</t>
  </si>
  <si>
    <t>Calanoid copepod specimens attributable to Lucicutia grandis (Giesbrecht, 1895), L. bradyana Cleve, 1904, L. wolfendeni Sewell, 1932, and L. rara Hulsemann, 1966 were studied from antarctic and subantarctic waters collected during RV Eltanin crusies 4-11 and 23, and RV Ob cruises 1 and 3. In addition, identified specimens from the Pacific and Indian Oceans deposited in the systematic collections of the National Museum of Natural History, Smithsonian Institution (Washington, DC, USA) and the Zoological Institute, Russian Academy of Sciences (St Petersburg) were also examined. Both sexes of a new species are described from the eastern tropical Pacific Ocean, L. hulsemannae. Lucicutia hulsemannae is distinguished from L. grandis, L. bradyana and L. wolfendeni by the morphology of the rostrum, genital complex, including plug, and leg 5 of both sexes. Lucicutia bradyana is not found outside the Southern Hemisphere but L. grandis is recorded from the Arabian Sea, the Bay of Bengal, tropical Indian Ocean, as well as its type locality in the eastern tropical Pacific Ocean. Lucicutia wolfendeni is found in all oceans except the Arctic Ocean. The status of L. bradyana, previously rejected as a separate species by Hulsemarm (1966), is restored. Lucitutia rara is considered a junior synonym of L. bradyana.</t>
  </si>
  <si>
    <t>Russian Acad Sci, Inst Zool, St Petersburg 199034, Russia; Smithsonian Inst, Museum Hist Nat, Dept Sysemat Biol, Washington, DC 20560 USA</t>
  </si>
  <si>
    <t>Russian Academy of Sciences; Zoological Institute of the Russian Academy of Sciences; Smithsonian Institution</t>
  </si>
  <si>
    <t>Russian Acad Sci, Inst Zool, Universitetskaya Nab 1, St Petersburg 199034, Russia.</t>
  </si>
  <si>
    <t>copepoda@zin.ru</t>
  </si>
  <si>
    <t>Markhaseva, Elena L/R-1832-2017</t>
  </si>
  <si>
    <t>10.1080/00222930400005740</t>
  </si>
  <si>
    <t>897CY</t>
  </si>
  <si>
    <t>WOS:000226982800001</t>
  </si>
  <si>
    <t>Berge, J; Vader, W</t>
  </si>
  <si>
    <t>The amphipod genus Alexandrella (Amphipoda, Stilipedidae):: taxonomic status, allometric growth and description of two new species</t>
  </si>
  <si>
    <t>Alexandrella; allometry; Amphipoda; Stilipedidae; taxonomy</t>
  </si>
  <si>
    <t>REVISION</t>
  </si>
  <si>
    <t>Two new species of the genus Alexandrella are described: A. mandibulata and A. martae. One species, A. mixta, is considered a junior synonym of the type species A. dentata. The genus now comprises six species, all of which are restricted to either the Antarctic or sub-Antarctic region or the South Pacific. Oostegites are observed to be present on pereopod 1 in two Alexandrella species. This is a novel morphological trait among the Amphipoda. Developmental information is presented for two other Alexandrella species, in which the mandibular incisor is seen to be modified from strongly toothed in marsupial young to totally smooth in mature specimens. Also the armature dorsally on their body and the morphology of the telson undergo conspicuous allometric changes. A key to all known Alexandrella species is provided.</t>
  </si>
  <si>
    <t>UNIS, Dept Biol, N-9171 Longyearbyen, Norway; Tromso Museum, UiTo, Dept Zool, Tromso, Norway</t>
  </si>
  <si>
    <t>University Centre Svalbard (UNIS); UiT The Arctic University of Tromso</t>
  </si>
  <si>
    <t>Berge, J (corresponding author), UNIS, Dept Biol, N-9171 Longyearbyen, Norway.</t>
  </si>
  <si>
    <t>jorgen.berge@unis.no</t>
  </si>
  <si>
    <t>Berge, Jørgen/B-8749-2008</t>
  </si>
  <si>
    <t>Berge, Jørgen/0000-0003-0900-5679</t>
  </si>
  <si>
    <t>10.1080/00222930400015566</t>
  </si>
  <si>
    <t>910QX</t>
  </si>
  <si>
    <t>WOS:000227948400004</t>
  </si>
  <si>
    <t>Marques, AC; Cantero, ALP; Migotto, AE</t>
  </si>
  <si>
    <t>Redescription and systematic status of the Antarctic genus Abietinella Levinsen, 1913 (Lafoeidae, Hydrozoa, Cnidaria)</t>
  </si>
  <si>
    <t>Abietinella; Antarctic; Cnidaria; cnidome; Hydrozoa; morphometry</t>
  </si>
  <si>
    <t>The Antarctic-Patagonian genus Abietinella, comprising two known species, Abietinella operculata (Jaderholm, 1903) and Abietinella grandis (Vanhoffen, 1910), is reviewed. The holotype of Abietinella operculata is fully redescribed, including morphometry and cnidome, unknown up to now. Its distinctive characters are the growth habit, hydrothecal shape and, most important, the presence of a dish-shaped operculum attached to the adcauline side of the hydrothecal aperture. We corroborate its conspecificity with A. grandis and, therefore, the monotypic condition of Abietinella.</t>
  </si>
  <si>
    <t>Univ Sao Paulo, Inst Biociencias, Dept Zool, BR-05422970 Sao Paulo, Brazil; Univ Valencia, Inst Cavanilles Biodivers &amp; Biol Evolut, Valencia, Spain; Univ Sao Paulo, Ctr Biol Marinha, Sao Sebastiao, Brazil</t>
  </si>
  <si>
    <t>Universidade de Sao Paulo; University of Valencia; Universidade de Sao Paulo</t>
  </si>
  <si>
    <t>Marques, AC (corresponding author), Univ Sao Paulo, Inst Biociencias, Dept Zool, CP 11461, BR-05422970 Sao Paulo, Brazil.</t>
  </si>
  <si>
    <t>marques@ib.usp.br</t>
  </si>
  <si>
    <t>Cantero, Álvaro Luis Peña/F-7888-2016; Marques, Antonio/E-8049-2011; Migotto, Alvaro/D-3748-2011</t>
  </si>
  <si>
    <t>Marques, Antonio/0000-0002-2884-0541; Pena Cantero, Alvaro/0000-0003-3056-6673; Migotto, Alvaro/0000-0003-3887-1947</t>
  </si>
  <si>
    <t>10.1080/00222930400005765</t>
  </si>
  <si>
    <t>910RG</t>
  </si>
  <si>
    <t>WOS:000227949300002</t>
  </si>
  <si>
    <t>Kotov, AA; Gololobova, MA</t>
  </si>
  <si>
    <t>Types of cladoceran species described by Sven!Ekman in the Swedish Museum of Natural History, with redescription of Daphnia cavicervix Ekman, 1900 (Daphniidae, Anomopoda, Cladocera)</t>
  </si>
  <si>
    <t>Anomopoda; Cladocera; Daphnia; South America; systematics; taxonomy</t>
  </si>
  <si>
    <t>SUB-ANTARCTIC ISLANDS; SOUTH-AMERICA; BRANCHIOPODA; DIFFERENTIATION; CHYDORIDAE; CRUSTACEA</t>
  </si>
  <si>
    <t>In the course of our examination of samples of Cladocera from South America and subantarctic islands in the collection of the Swedish Museum of Natural History, Stockholm, we found some type material of Sven Ekman, unrecognized earlier, as well as other samples described in his publications (Ekman 1900, 1905). A single specimen of Pleuroxus scopuliferus Ekman, 1900, apparently seen by its author, is re-deposited as the lectotype, while the neotype of this taxon earlier selected by Frey (1993) must be rejected according to ICZN (2000). Daphnia cavicervix Ekman, 1900 is redescribed based on numerous parthenogenetic, ephippial females and males, and lectotype and paralectotypes are selected. Some recent problems of systematics of Daphnia in South America are discussed.</t>
  </si>
  <si>
    <t>AN Severtsov Inst Ecol &amp; Evolution, Moscow 119071, Russia; Moscow MV Lomonosov State Univ, Dept Bioengn &amp; Bioinformat, Moscow, Russia</t>
  </si>
  <si>
    <t>Russian Academy of Sciences; Saratov Scientific Center of the Russian Academy of Sciences; Severtsov Institute of Ecology &amp; Evolution; Lomonosov Moscow State University</t>
  </si>
  <si>
    <t>AN Severtsov Inst Ecol &amp; Evolution, Leninsky Prospect 33, Moscow 119071, Russia.</t>
  </si>
  <si>
    <t>golokot2000@mail.ru</t>
  </si>
  <si>
    <t>Kotov, Alexey A./B-1549-2010; Gololobova, Maria A/E-7798-2016</t>
  </si>
  <si>
    <t>Kotov, Alexey A./0000-0002-8863-6438; Gololobova, Maria A/0000-0003-0781-603X</t>
  </si>
  <si>
    <t>10.1080/00222930500240015</t>
  </si>
  <si>
    <t>982XH</t>
  </si>
  <si>
    <t>WOS:000233194700002</t>
  </si>
  <si>
    <t>McDonagh, EL; King, BA</t>
  </si>
  <si>
    <t>Oceanic fluxes in the South Atlantic</t>
  </si>
  <si>
    <t>ANTARCTIC BOTTOM WATER; INTERMEDIATE WATER; WORLD OCEAN; HEAT; CIRCULATION; TRANSPORTS; CURRENTS; MASSES; BRAZIL; FLOW</t>
  </si>
  <si>
    <t>A box inverse of the World Ocean Circulation Experiment A.10 (30degreesS) and All (nominally 45degreesS) sections in the South Atlantic Ocean was undertaken. The authors find a heat flux across A10 of 0.22 +/- 0.08 PW, consistent with previous studies, and a heat flux of 0.43 +/- 0.08 PW across All. The All heat flux is lower than some previous analyses of this section but implies a plausible oceanic heat convergence (heat loss to the atmosphere) of 0.21 +/- 0.10 PW. The difference is principally due to adding a cyclonic component to the circulation in the Cape Basin. As compared with the solution of other studies, the anticyclonic circulation in the surface and intermediate water of the subtropical gyre is weakened. The circulation of the deep water is cyclonic rather than anticyclonic; this is in better agreement with previously published circulation schemes based on examination of water properties. A southward freshwater flux of 0.7 Sv (1 Sv equivalent to 10(6) m(3)s(-1)) at A11, consistent with previous inverse studies, is still inconsistent with the net Atlantic evaporation inferred from integrated surface climatologies. Results suggest a small gain of freshwater (0.2 +/- 0.1 Sv) between the sections.</t>
  </si>
  <si>
    <t>Southampton Oceanog Ctr, Empress Dock, Southampton SO14 3ZH, Hants, England.</t>
  </si>
  <si>
    <t>10.1175/JPO-2666.1</t>
  </si>
  <si>
    <t>896KQ</t>
  </si>
  <si>
    <t>WOS:000226933400007</t>
  </si>
  <si>
    <t>Pasquer, B; Laruelle, G; Becquevort, S; Schoemann, V; Goosse, H; Lancelot, C</t>
  </si>
  <si>
    <t>Linking ocean biogeochemical cycles and ecosystem structure and function: results of the complex SWAMCO-4 model</t>
  </si>
  <si>
    <t>JOURNAL OF SEA RESEARCH</t>
  </si>
  <si>
    <t>ecological modelling; diatoms; pico/nanophytoplankton; coccolithophorids; Phaeocystis spp.; iron; air-sea CO2 fluxes; global ocean; antarctic ocean; North Atlantic</t>
  </si>
  <si>
    <t>FRACTIONATED PHYTOPLANKTON BIOMASS; EMILIANIA-HUXLEYI; SOUTHERN-OCEAN; INTERANNUAL VARIABILITY; INDIAN SECTOR; IRON; CARBON; SEA; BLOOMS; GROWTH</t>
  </si>
  <si>
    <t>We present results obtained with SWAMCO-4, a complex model of the marine planktonic system calculating C, N, P, Si, Fe cycling within the upper ocean, the export production and the exchange of CO2 between the ocean and atmosphere. The model, constrained by physical, chemical and biological (grazing, lysis) controls, explicitly details the dynamics of four relevant phytoplankton functional groups with respect to C, N, P, Si, Fe cycling and climate change. Those are diatoms, pico/nano phytoplankton, coccolithophorids, and Phaeocystis spp. whose growth regulation by light, temperature and nutrients has been obtained based on a comprehensive analysis of literature reviews on these taxonomic groups. The performance of SWAMCO-4 is first evaluated in a 1D physical frame throughout its cross application in provinces with contrasted key species dominance, export production, CO2 air-sea fluxes and where biogeochemical time-series data are available for model initialisation and comparison of results. These are: (i) the ice-free Southern Ocean Time Series station KERFIX (50degrees40S, 68degreesE) for the period 1993-1994 (diatom-dominated); (ii) the sea-ice associated Ross Sea domain (Station S; 76degreesS, 180degreesW) of the Antarctic Environment and Southern Ocean Process Study AESOPS in 1996-1997 (Phaeocystis-dominated); and (iii) the North Atlantic Bloom Experiment NABE (60degreesN, 20degreesW) in 1991 (coccolithophorids). We then explore and compare the ocean response to increased atmospheric CO2 by running SWAMCO-4 at the different locations over the last decade. Results show that at all tested latitudes the prescribed increase of atmospheric CO2 enhances the carbon uptake by the ocean. However, the amplitude of the predicted atmospheric CO2 sinks displays large regional and interannual variations due to the actual meteorological forcing that drives the local hydrodynamics. This is particularly true in the marginal ice zone of the Ross Sea (AESOPS) where the magnitude of the predicted annual CO2 sink is positively related to the length of the surface ocean ice-cover period which determines the iron surface concentration at the time of ice melting. (C) 2004 Elsevier B.V. All rights reserved.</t>
  </si>
  <si>
    <t>Free Univ Brussels, Ecol Syst Aquat, B-1050 Brussels, Belgium; Univ Utrecht, Dept Earth Sci, Utrecht, Netherlands; Catholic Univ Louvain, Inst Astron &amp; Geophys Georges Lemaitre, B-1348 Louvain, Belgium</t>
  </si>
  <si>
    <t>Universite Libre de Bruxelles; Utrecht University; Universite Catholique Louvain</t>
  </si>
  <si>
    <t>Free Univ Brussels, Ecol Syst Aquat, CP-221,Bd Triomphe, B-1050 Brussels, Belgium.</t>
  </si>
  <si>
    <t>lancelot@ulb.ac.be</t>
  </si>
  <si>
    <t>Laruelle, Goulven Gildas/F-1274-2010</t>
  </si>
  <si>
    <t>Laruelle, Goulven Gildas/0000-0003-2869-4713</t>
  </si>
  <si>
    <t>1385-1101</t>
  </si>
  <si>
    <t>1873-1414</t>
  </si>
  <si>
    <t>J SEA RES</t>
  </si>
  <si>
    <t>J. Sea Res.</t>
  </si>
  <si>
    <t>10.1016/j.seares.2004.07.001</t>
  </si>
  <si>
    <t>888RN</t>
  </si>
  <si>
    <t>WOS:000226392000006</t>
  </si>
  <si>
    <t>Direen, NG; Brock, D; Hand, M</t>
  </si>
  <si>
    <t>Geophysical testing of balanced cross-sections of fold-thrust belts with potential field data: an example from the Fleurieu Arc of the Delamerian Orogen, South Australia</t>
  </si>
  <si>
    <t>JOURNAL OF STRUCTURAL GEOLOGY</t>
  </si>
  <si>
    <t>balanced cross-sections; Fleurieu Arc; foreland fold-thrust belt; magnetic modeling; Ross-Delamerian Orogen; South Australia</t>
  </si>
  <si>
    <t>NORTHERN VICTORIA LAND; GAWLER CRATON; SHEAR ZONES; MAGNETIC-ANOMALIES; ADELAIDE FOLDBELT; ANTARCTIC MARGIN; KANGAROO ISLAND; EVOLUTION; BASIN; BASEMENT</t>
  </si>
  <si>
    <t>The Delamerian (South Australia) and Ross (Antarctica) Orogens once formed a continuous chain along the paleo-Pacific margin of Gondwana. Correlations between the two are based on many characteristics, including style of shortening and deformation. Constraining structural features in one of these orogens impacts on interpretations of tectonic processes for the other. Balanced cross-sections have provided crucial information on the internal architecture of the Delamerian Orogen, South Australia, and form a key piece of evidence in some widely circulated models for the deformational style. These sections have not been constrained by geophysical investigations, which can provide significant information about the subsurface geometry. We present magnetic forward models for two balanced cross-sections of the Fleurieu Arc in the Delamerian Orogen. The forward models require a larger volume of magnetic basement at shallower depths than predicted by balanced sections, requiring a revision of currently proposed shortening mechanisms. The shortening mechanism inferred from the models requires less imbrication of upper crustal units, and more folding above thrusts that involve both basement and cover sequences. This style of shortening compares favorably with published observations from the Ross Orogen in Antarctica. (C) 2005 Elsevier Ltd. All rights reserved.</t>
  </si>
  <si>
    <t>Univ Adelaide, Sch Earth &amp; Environm Sci, Continental Evolut Res Grp, Adelaide, SA 5005, Australia</t>
  </si>
  <si>
    <t>University of Adelaide</t>
  </si>
  <si>
    <t>Direen, NG (corresponding author), Univ Adelaide, Sch Earth &amp; Environm Sci, Continental Evolut Res Grp, Adelaide, SA 5005, Australia.</t>
  </si>
  <si>
    <t>nick.direen@adelaide.edu.au</t>
  </si>
  <si>
    <t>Direen, Nicholas/P-5949-2019; Direen, Nicholas/E-6288-2011</t>
  </si>
  <si>
    <t>Direen, Nicholas/0000-0002-4466-7064; hand, martin/0000-0003-3743-9706</t>
  </si>
  <si>
    <t>0191-8141</t>
  </si>
  <si>
    <t>J STRUCT GEOL</t>
  </si>
  <si>
    <t>J. Struct. Geol.</t>
  </si>
  <si>
    <t>10.1016/j.jsg.2005.03.004</t>
  </si>
  <si>
    <t>955GH</t>
  </si>
  <si>
    <t>WOS:000231213100003</t>
  </si>
  <si>
    <t>Nakai, M; Kaiden, H; Lee, JH; Yoshikawa, A; Sugiyama, K; Fukuda, T</t>
  </si>
  <si>
    <t>Eutectic Al2O3/Y3Al5O12 fibers modified by the substitution of Sc2O3, Fe2O3 or Cr2O3</t>
  </si>
  <si>
    <t>JOURNAL OF THE EUROPEAN CERAMIC SOCIETY</t>
  </si>
  <si>
    <t>International Conference on Directionally Solidified Eutectic Ceramics</t>
  </si>
  <si>
    <t>MAY 05-07, 2003</t>
  </si>
  <si>
    <t>eutectic fiber</t>
  </si>
  <si>
    <t>MECHANICAL-PROPERTIES; CREEP; MICROSTRUCTURE; COMPOSITES; GROWTH; STABILITY; STRENGTH; BEHAVIOR</t>
  </si>
  <si>
    <t>A variety of corundum/garnet eutectic fiber samples were produced by the micro-pulling-down (mu-PD) method in an Ar atmosphere and the substitution Of Cr2O3 Fe2O3 Or SC2O3 for Al2O3 in the eutectic fiber sample 0.81Al(2)O(3)0.19Y(2)O(3) was studied by a scanning electron microscope (SEM) and electron backscattering (EBSP) together with the X-ray diffraction (XRD). Although the chemical substitution resulted in the formation of a colony structure consisting of a fine ordered Chinese-script structure of corundum and garnet Surrounded by a thick boundary region. a fundamental crystallographic relationship &lt; 001 &gt; corundum//&lt; 112) garnet was found to be perpendicular to the solidification direction was readily observed. Cr2O3 is distributed in corundum and garnet structures, SC2O3, however, preferred the garnet structure. The EDX and XRD analyses showed that the presumably reduced FeO contributes to the formation of hercynite FeAl2O4. (c) 2005 Published by Elsevier Ltd.</t>
  </si>
  <si>
    <t>Univ Tokyo, Grad Sch Sci, Dept Earth &amp; Planetary Sci, Bunkyo Ku, Tokyo 1130033, Japan; Natl Inst Polar Res, Antarctic Meteorite Res Ctr, Itabashi Ku, Tokyo 1738515, Japan; Tohoku Univ, Inst Multidisciplinary Res Adv Mat, Aoba Ku, Sendai, Miyagi 980, Japan</t>
  </si>
  <si>
    <t>University of Tokyo; Research Organization of Information &amp; Systems (ROIS); National Institute of Polar Research (NIPR) - Japan; Tohoku University</t>
  </si>
  <si>
    <t>Univ Tokyo, Grad Sch Sci, Dept Earth &amp; Planetary Sci, Bunkyo Ku, Hongo 7-3-1, Tokyo 1130033, Japan.</t>
  </si>
  <si>
    <t>kazumasa@eps.s.u-tokyo.ac.jp</t>
  </si>
  <si>
    <t>Yoshikawa, Akira/B-9986-2011; Fukuda, Tsuguo/D-1309-2010</t>
  </si>
  <si>
    <t>0955-2219</t>
  </si>
  <si>
    <t>1873-619X</t>
  </si>
  <si>
    <t>J EUR CERAM SOC</t>
  </si>
  <si>
    <t>J. Eur. Ceram. Soc.</t>
  </si>
  <si>
    <t>10.1016/j.jeurceramsoc.2005.01.020</t>
  </si>
  <si>
    <t>Materials Science, Ceramics</t>
  </si>
  <si>
    <t>Materials Science</t>
  </si>
  <si>
    <t>931YY</t>
  </si>
  <si>
    <t>WOS:000229522600028</t>
  </si>
  <si>
    <t>Daly, JS; Flowerdew, MJ</t>
  </si>
  <si>
    <t>Grampian and late Grenville events recorded by mineral geochronology near a basement-cover contact in north Mayo, Ireland</t>
  </si>
  <si>
    <t>Grenvillian Orogeny; caledonides; Grampian Orogeny; Dalradian; Ireland</t>
  </si>
  <si>
    <t>U-PB GEOCHRONOLOGY; STRONTIUM DIFFUSION KINETICS; CENTRAL HIGHLANDS; REGIONAL METAMORPHISM; TECTONOTHERMAL EVENTS; INISHKEA DIVISION; MOINE SUPERGROUP; DALRADIAN ROCKS; GRANITE GNEISS; CALEDONIDES</t>
  </si>
  <si>
    <t>The Palaeoproterozoic to early Neoproterozoic Armagh Gneiss Complex structurally underlies the Dalradian sequence in north Mayo, Ireland, and has been proposed as the depositional basement to Dalradian metasediments. The Armagh Gneiss Complex was deformed, metamorphosed and migmatized during the Grenville Orogeny and later reworked under amphibolite-facies conditions. This paper focuses on the timing of the post-Grenville events and particularly on the possible presence of post-Grenville, pre-Grampian deformation that could be attributed to the Knoydartian Orogeny. Seven U-Pb titanite analyses from Armagh Gneiss Complex gneisses have a weighted mean Pb-207/Pb-206 age of 963 +/- 8 Ma, which dates cooling after the main Grenville metamorphism. Locally, a later phase of titanite growth at 943 +/- 8 Ma post-dates the last phase of Grenville deformation. The weak discordance of the titanite data suggests that post-Grenville events had little effect on the U-Pb system in titanite. If the discordance was caused by a tectonic event, this is likely to have occurred during the early Ordovician Grampian Orogeny rather than in the Neoproterozoic. Within the Armagh Gneiss Complex, cross-cutting metadolerites provide a structural marker allowing post-Grenville deformation to be distinguished. In contrast, correlative metadolerites cutting the adjacent Dalradian metasediments share all Grampian deformation events affecting their host. Ar-Ar hornblende ages from the post-Grenville metadolerites indicate that reworking of the Annagh Gneiss Complex and the first episodes of Dalradian deformation occurred during the Grampian Orogeny in this part of Ireland. One sample yields a 475 +/- 4 Ma Ar-Ar plateau age, which is interpreted to date Grampian deformation. Younger Ar-Ar hornblende and Rb-Sr mica ages record post-Grampian cooling. Neither field nor isotopic evidence for the Knoydartian Orogeny has been found in this part of Ireland.</t>
  </si>
  <si>
    <t>Natl Univ Ireland Univ Coll Dublin, Dept Geol, Dublin 4, Ireland</t>
  </si>
  <si>
    <t>University College Dublin</t>
  </si>
  <si>
    <t>Daly, JS (corresponding author), NERC, British Antarctic Survey, Isotope Geosci Lab, Kingsley Dunham Ctr, Nottingham NG12 5GG, England.</t>
  </si>
  <si>
    <t>stephen.daly@ucd.ie</t>
  </si>
  <si>
    <t>Daly, J. Stephen/B-4836-2012</t>
  </si>
  <si>
    <t>Daly, J. Stephen/0000-0001-6390-905X; Flowerdew, Michael/0000-0002-9710-2593</t>
  </si>
  <si>
    <t>10.1144/0016-764903-150</t>
  </si>
  <si>
    <t>892HL</t>
  </si>
  <si>
    <t>WOS:000226640900016</t>
  </si>
  <si>
    <t>Kil, YW; Lee, SH; Lee, JI; Jin, YK</t>
  </si>
  <si>
    <t>Kil, Young-Woo; Lee, Seok-Hoon; Lee, Jong-Ik; Jin, Young-Keun</t>
  </si>
  <si>
    <t>The origin of serpentinite from Hero Fracture zone in Drake passage, Antartic</t>
  </si>
  <si>
    <t>JOURNAL OF THE GEOLOGICAL SOCIETY OF KOREA</t>
  </si>
  <si>
    <t>Korean</t>
  </si>
  <si>
    <t>Antarctic; Hero Fracture zone; Peridotite</t>
  </si>
  <si>
    <t>Serpentinites from Hero Fracture zone in Antarctic contain serpentine, amphibole, talc, chlorite, and magnetite as well as olivine, pyroxene, and spinel as relict minerals. Fosterite compositions of olivines in serpentinites are 89 - 90. Cr-numbers and Mg-numbers of spinels in serpentinites are similar to those of spinels in abyssal peridotite. Serpentinites from Hero Fracture zone in Drake Passage have undergone two serpentinization events by oceanic water; first serpentinization event and second serpentinization event. First serpentinization part includes lizardite and antigorite, but second serpentinization part includes only lizardite. First serpentinization event occurred at deeper part (150 - 450 degrees C) than second serpentinization event. During serpentinization, MgO and FeO in olivine are decreased, and those in orthopyroxene and clinopyroxene are increased. The protholith of serpentinites is upper mantle spinel peridotite because of mineral assemblage, Fo(89-90) composition in olivines, and Cr-number and Mg-number in spinels. Moreover, the values of (HREE)n (0.3 - 1.6) and no Eu anomaly in serpentinites from Hero Fracture zone indicate that the protholith of serpentinites is upper mantle spinel peridotite.</t>
  </si>
  <si>
    <t>[Kil, Young-Woo] Korea Natl Oil Corp, Anyang 431711, South Korea; [Lee, Seok-Hoon] Korea Basic Sci Inst, 52 Yeoeun Dong, Daejeon 305333, South Korea; [Lee, Jong-Ik; Jin, Young-Keun] Korea Polar Res Inst, Seoul 425600, South Korea</t>
  </si>
  <si>
    <t>Korea National Oil Corporation; Korea Basic Science Institute (KBSI); Korea Polar Research Institute (KOPRI); Korea Institute of Ocean Science &amp; Technology (KIOST)</t>
  </si>
  <si>
    <t>Lee, SH (corresponding author), Korea Basic Sci Inst, 52 Yeoeun Dong, Daejeon 305333, South Korea.</t>
  </si>
  <si>
    <t>shlee@kbsi.re.kr</t>
  </si>
  <si>
    <t>GEOLOGICAL SOC KOREA</t>
  </si>
  <si>
    <t>KOREA SCIENCE &amp; TECHNOLOGY CTR, RM 813, 7 GIL 22, TEHERAN- RO, GANGNAM-GUNA, SEOUL, 06130, SOUTH KOREA</t>
  </si>
  <si>
    <t>0435-4036</t>
  </si>
  <si>
    <t>2288-7377</t>
  </si>
  <si>
    <t>J GEOL SOC KOREA</t>
  </si>
  <si>
    <t>J. Geol. Soc. Korea</t>
  </si>
  <si>
    <t>VA5YQ</t>
  </si>
  <si>
    <t>WOS:000410131300003</t>
  </si>
  <si>
    <t>Yoon, HI; Nam, SH; Yoo, KC; Park, BK; Kim, Y; Oh, JK</t>
  </si>
  <si>
    <t>Yoon, Ho Il; Nam, Sang Heon; Yoo, Kyu-Cheul; Park, Byong-Kwon; Kim, Yeadong; Oh, Jae-Kyung</t>
  </si>
  <si>
    <t>Late Quaternary paleoceanographic change in the South Scotia Sea, northern Antarctic Peninsula</t>
  </si>
  <si>
    <t>late Pleistocene to Holocene; paleoclimate; South Scotia Sea; Antarctic Peninsula; glacial marine</t>
  </si>
  <si>
    <t>It is getting urgent to obtain an increased knowledge of regional paleoclimatic trends in order to understand the recent warming observed on the Antarctic Peninsula and to predict the resultant environmental changes. High-resolution sedimentologic and geochemical analyses, aided by AMS 14C chronology of two gravity core sediments (core SS01 and SS02) obtained in the South Scotia Sea, represent the detailed record of late Pleistocene to Holocene climate change in Antarctic Peninsula region. The South Scotia Sea seems to have experienced occasionally open-water environment during MIS 3 (Marine Isotope Stage 3) (prior to 22,500 yr B.P.) with increased TOC (total organic carbon) content. During LGM (Last Glacial Maximum) the South Scotia Sea was considered to have been covered by prolonged sea-ice coverage, with reduced biological productivity in the surface ocean and strengthened bottom currents which originated from the Weddell Sea. At this time there must be intermittent formations of polnyna which might cause enhanced biological production and bottom water production as well. Major deglaciation of the South Scotia Sea is believed to have occurred at about 12,500 yr B.P. At this time there was an gradual increase in TOC content and a decrease in terrigenous sediment due to the decrease in sea-ice coverage. During this deglaciation the South Scotia Sea might have experienced short-term cold events around 10,400 similar to 9,500 yr B.P., accompanied by TOC decrease and increase in sand content. The deglaciation was followed by a period (mid-Holocene climatic optimum) of open marine conditions with variable extent of sea ice (variable TOC content) between 8,300 and 2,400 yr B.P. Around 2,400 yr B.P. the decrease in TOC content and increase in sand content reflects the formation of more extensive and seasonally persistent sea (fast) ice. The ice shelf in the Weddell Sea, now retreating from the shelf, advanced approximately towards the shelf edge with the bottom water production, transporting large amounts of terrigenous sediments into the South Scotia Sea.</t>
  </si>
  <si>
    <t>[Yoon, Ho Il; Nam, Sang Heon; Yoo, Kyu-Cheul; Park, Byong-Kwon; Kim, Yeadong] Korea Ocean Res &amp; Dev Inst, Korea Polar Res Inst, Ansan POB 29, Seoul 425600, South Korea; [Oh, Jae-Kyung] Inha Univ, Dept Oceanog, Inchon 402751, South Korea</t>
  </si>
  <si>
    <t>Korea Institute of Ocean Science &amp; Technology (KIOST); Korea Polar Research Institute (KOPRI); Inha University</t>
  </si>
  <si>
    <t>Yoo, KC (corresponding author), Korea Ocean Res &amp; Dev Inst, Korea Polar Res Inst, Ansan POB 29, Seoul 425600, South Korea.</t>
  </si>
  <si>
    <t>kcyoo@kopri.re.kr</t>
  </si>
  <si>
    <t>WOS:000410131300006</t>
  </si>
  <si>
    <t>The bryophyte flora of geothermal habitats on Deception Island, Antarctica</t>
  </si>
  <si>
    <t>JOURNAL OF THE HATTORI BOTANICAL LABORATORY</t>
  </si>
  <si>
    <t>15th World Congress on Bryology</t>
  </si>
  <si>
    <t>JAN 12-16, 2004</t>
  </si>
  <si>
    <t>Merida, VENEZUELA</t>
  </si>
  <si>
    <t>bryophytes; mosses; liverworts; geothermal; fumaroles; vents; Antarctica</t>
  </si>
  <si>
    <t>Deception Island is one of the most volcanically active sites south of 60degreesS. Between 1967 and 1970 three major eruptions devastated large expanses of the landscape and its predominantly cryptogamic vegetation. Since 1970 extensive recolonisation has occurred on the more stable surfaces. Unheated ground supports several bryophyte and lichen communities typical of much of the maritime Antarctic, but geothermal habitats possess remarkable associations of bryophytes, many of the species being unknown or very rare elsewhere in the Antarctic. Nine geothermal sites were located and their vegetation investigated in detail. Communities associated with more transient sites have disappeared when the geothermal activity ceased. Mosses and liverworts occur to within a few centimetres of fumarole vents where temperatures reach 90-95degreesC, while temperatures within adjacent moss turf can reach 35-50degreesC or more and remain consistently between 25 and 45degreesC. Most of the bryoflora has a Patagonian-Fuegian provenance and it is presumed that, unlike most species, the thermophiles are not pre-adapted to the Antarctic environment, being able to colonise only where the warm and humid conditions prevail.</t>
  </si>
  <si>
    <t>HATTORI BOTANICAL LABORATORY</t>
  </si>
  <si>
    <t>MIYAZAKI-KEN</t>
  </si>
  <si>
    <t>OBI, NICHINAN-SHI, MIYAZAKI-KEN, 889-2535, JAPAN</t>
  </si>
  <si>
    <t>0073-0912</t>
  </si>
  <si>
    <t>J HATTORI BOT LAB</t>
  </si>
  <si>
    <t>J. Hattori Bot. Lab.</t>
  </si>
  <si>
    <t>899CP</t>
  </si>
  <si>
    <t>WOS:000227122800012</t>
  </si>
  <si>
    <t>Edwards, HGM; de Oliveira, LFC; Seaward, MRD</t>
  </si>
  <si>
    <t>FT-Raman spectroscopy of the Christmas wreath lichen, Cryptothecia rubrocincta (Ehrenb.:Fr.) Thor</t>
  </si>
  <si>
    <t>LICHENOLOGIST</t>
  </si>
  <si>
    <t>Brazil; calcium oxalate; chiodectonic acid; confluentic acid; Cryptothecia rubrocincta; FT-Raman spectroscopy; lichen</t>
  </si>
  <si>
    <t>ULTRAVIOLET-RADIATION; ANTARCTIC HABITATS; EPILITHIC LICHENS; IN-SITU; ENCRUSTATIONS; PIGMENTS</t>
  </si>
  <si>
    <t>FT-Raman spectra have been obtained from the highly pigmented lichen Cryptothecia rubrocincta from a Brazilian vestigial rainforest habitat. Spectral signatures of the two main lichen substances, chiodectonic acid and confluentic acid, were identified in adjacent zones of the thallus. Of the characteristic zonal colours displayed by the thallus, the outer red zone contained chiodectonic acid and no calcium oxalate, and graded into by a pink zone with calcium oxalate monohydrate (whewellite) in association with chiodectonic acid , to the inside of which is a concentric white zone containing calcium oxalate dihydrate (weddellite); however, chemically differentiated sites (elliptical brown flecks with a major axis of c. 15 pm) in both the pink and red zones contained chiodectonic acid and calcium oxalate monohydrate. The role of Raman spectroscopy in the spatial identification of lichen substances in the thallial structures is demonstrated.</t>
  </si>
  <si>
    <t>Univ Bradford, Dept Geog &amp; Environm Sci, Bradford BD7 1DP, W Yorkshire, England; Univ Bradford, Sch Pharm, Bradford BD7 1DP, W Yorkshire, England; Univ Fed Juiz Fora, Inst Ciencias Exatas, Dept Quim, BR-36036330 Juiz De Fora, MG, Brazil</t>
  </si>
  <si>
    <t>University of Bradford; University of Bradford; Universidade Federal de Juiz de Fora</t>
  </si>
  <si>
    <t>Seaward, MRD (corresponding author), Univ Bradford, Dept Geog &amp; Environm Sci, Bradford BD7 1DP, W Yorkshire, England.</t>
  </si>
  <si>
    <t>de Oliveira, L. F. C./E-4632-2013</t>
  </si>
  <si>
    <t>0024-2829</t>
  </si>
  <si>
    <t>Lichenologist</t>
  </si>
  <si>
    <t>10.1017/S0024282905014611</t>
  </si>
  <si>
    <t>Plant Sciences; Mycology</t>
  </si>
  <si>
    <t>912CD</t>
  </si>
  <si>
    <t>WOS:000228053800008</t>
  </si>
  <si>
    <t>Galloway, DJ; Lewis-Smith, RI; Quilhot, W</t>
  </si>
  <si>
    <t>A new species of Placopsis (Agyriaceae: Ascomycota) from Antarctica</t>
  </si>
  <si>
    <t>lichens; Agyriaceae; maritime Antarctic; Placopsis antarctica; Placopsis bicolor</t>
  </si>
  <si>
    <t>LICHEN GENUS PLACOPSIS; CHROMATOGRAPHIC METHOD; IDENTIFICATION; SYSTEMATICS</t>
  </si>
  <si>
    <t>Placopsis antarctica, which is apparently endemic to antarctic regions south of lat. 60 degrees S (South Orkney Is, South Shetland Is and the Antarctic Peninsula), is described. Details of its morphology, anatomy, chemistry, ecology and distribution are given. Placopsis bicolor is newly reported from South Georgia. A revised key to species of Placopsis occurring in South Georgia and Antarctica is given.</t>
  </si>
  <si>
    <t>Landcare Res, Dunedin, New Zealand; British Antarctic Survey, Cambridge CB3 0ET, England; Univ Valparaiso, Escuela Farm, Fac Med, Valparaiso 5001, Chile</t>
  </si>
  <si>
    <t>Landcare Research - New Zealand; UK Research &amp; Innovation (UKRI); Natural Environment Research Council (NERC); NERC British Antarctic Survey; Universidad de Valparaiso</t>
  </si>
  <si>
    <t>Landcare Res, Private Bag 1930, Dunedin, New Zealand.</t>
  </si>
  <si>
    <t>1096-1135</t>
  </si>
  <si>
    <t>10.1017/S0024282905015094</t>
  </si>
  <si>
    <t>955BG</t>
  </si>
  <si>
    <t>WOS:000231199100007</t>
  </si>
  <si>
    <t>Lewis-Smith, RI</t>
  </si>
  <si>
    <t>Extensive colonization of volcanic ash by an unusual form of Peltigera didactyla at Deception Island, maritime Antarctic</t>
  </si>
  <si>
    <t>Lewis-Smith, RI (corresponding author), British Antarctic Survey, Madingley Rd, Cambridge CB3 0ET, England.</t>
  </si>
  <si>
    <t>10.1017/S0024282905015252</t>
  </si>
  <si>
    <t>WOS:000231199100012</t>
  </si>
  <si>
    <t>Buesseler, KO; Andrews, JE; Pike, SM; Charette, MA; Goldson, LE; Brzezinski, MA; Lance, VP</t>
  </si>
  <si>
    <t>Particle export during the southern ocean iron experiment (SOFeX)</t>
  </si>
  <si>
    <t>PARTICULATE ORGANIC-CARBON; FERTILIZATION EXPERIMENT; PHYTOPLANKTON BLOOM; EQUATORIAL PACIFIC; SMALL-VOLUME; SEAWATER; TH-234; FLUX; 170-DEGREES-W; TRANSPORT</t>
  </si>
  <si>
    <t>We studied the effect of iron addition on particle export in the Southern Ocean by measuring changes in the distribution of thorium-234 during a 4-week iron (Fe) enrichment experiment conducted in the high-silicate high-nitrate waters just south of the Southern Antarctic Circumpolar Current Front at 172.5degreesW Decreases in Th-234 activity with time in the fertilized mixed layer (0-50 m) exceeded those in unfertilized waters, indicating enhanced export of Th-234 on sinking particles after Fe enrichment. The addition of Fe also affected export below the fertilized patch by increasing the efficiency of particle export through the 100-m depth horizon. Extensive temporal and vertical Lagrangian sampling allowed us to make a detailed examination of the Th-234 flux model, which was used to quantify the fluxes of particulate organic carbon (POC) and biogenic silica (bSiO(2)). Iron addition increased the flux of both POC and bSiO(2) Out of the mixed layer by about 300%. The flux at 100 m increased by more than 700% and 600% for POC and bSiO(2), respectively. The absolute magnitude of the POC and bSiO(2) fluxes were not large relative to natural blooms at these latitudes or to those found in association with the termination of blooms in other ocean regions. Our results support the hypothesis that Fe addition leads directly to significant particle export and sequestration of C in the deep ocean. This is a key link between ocean Fe inputs and past changes in atmospheric CO2 and climate.</t>
  </si>
  <si>
    <t>Woods Hole Oceanog Inst, Dept Marine Chem &amp; Geochem, Woods Hole, MA 02543 USA; Univ E Anglia, Norwich NR4 7TJ, Norfolk, England; Univ Calif Santa Barbara, Dept Ecol Evolut &amp; Marine Biol, Santa Barbara, CA 93106 USA; Univ Calif Santa Barbara, Inst Marine Sci, Santa Barbara, CA 93106 USA; Duke Univ, Nicholas Sch Envrionm &amp; Earth Sci, Beaufort, NC 28516 USA</t>
  </si>
  <si>
    <t>Woods Hole Oceanographic Institution; University of East Anglia; University of California System; University of California Santa Barbara; University of California System; University of California Santa Barbara; Duke University</t>
  </si>
  <si>
    <t>Woods Hole Oceanog Inst, Dept Marine Chem &amp; Geochem, Woods Hole, MA 02543 USA.</t>
  </si>
  <si>
    <t>Charette, Matthew/I-9495-2012</t>
  </si>
  <si>
    <t>10.4319/lo.2005.50.1.0311</t>
  </si>
  <si>
    <t>888XF</t>
  </si>
  <si>
    <t>WOS:000226406800030</t>
  </si>
  <si>
    <t>McMahon, CR; Bester, MN; Burton, HR; Hindell, MA; Bradshaw, CJA</t>
  </si>
  <si>
    <t>Population status, trends and a re-examination of the hypotheses explaining the recent declines of the southern elephant seal Mirounga leonina</t>
  </si>
  <si>
    <t>MAMMAL REVIEW</t>
  </si>
  <si>
    <t>environmental change; interspecific competition; marine mammals; Pinnipedia; population trends</t>
  </si>
  <si>
    <t>KING-GEORGE-ISLAND; ANTARCTIC CIRCUMPOLAR WAVE; HAUL-OUT PATTERNS; FUR SEALS; MARINE MAMMALS; FORAGING AREAS; EL-NINO; ARCTOCEPHALUS-GAZELLA; MACQUARIE ISLAND; STOMACH CONTENTS</t>
  </si>
  <si>
    <t>1. Between the 1950s and 1990s the southern elephant seal Mirounga leonina underwent large decreases in population size throughout most of its breeding range in the Southern Ocean. While current population estimates suggest a recent recovery, some breeding populations have continued to decrease in recent years (Macquarie and Marion Islands), others have either remained stable (South Georgia, Kerguelen and Heard Island) or have increased (Peninsula Valdes, Argentina). 2. Intrinsic hypotheses for patterns of regional decline include factors that are affected by density-dependent mechanisms: (i) paucity of males, (ii) population 'overshoot' and (iii) pandemic disease. Extrinsic hypotheses include (iv) predation, (v) competition with fisheries concerns, (vi) interspecific competition, (vii) environmental change and (viii) human disturbance. Of the eight hypotheses proposed and examined here, we conclude that three can be discounted (i, v, viii), three are unlikely, but may require more testing (ii, iii, iv) and two are plausible (vi, vii). 3. The interspecific competition hypothesis is difficult to test because it requires the simultaneous monitoring of species that overlap directly with elephant seals, many of which have not been identified or little is known. However, an analysis of the relationship between log variance and log abundance (Taylor's power law) for populations of southern and northern elephant seals suggests that interspecific competition is not a significant factor in the decline of the southern elephant seal. 4. The hypothesis that decreases in southern elephant seal populations between the 1950s and 1990s were caused by the environmental change is the easiest to test and most plausible of the hypotheses. We propose a framework by which to test this hypothesis to determine how food availability affects individual survival.</t>
  </si>
  <si>
    <t>Australian Antarctic Div, Kingston, Tas 7050, Australia; Univ Pretoria, Dept Zool &amp; Entomol, Mammal Res Inst, ZA-0002 Pretoria, Gauteng, South Africa; Univ Tasmania, Sch Zool, Antarctic Wildlife Res Unit, Hobart, Tas 7001, Australia; Charles Darwin Univ, Key Ctr Trop Wildlife Management, Darwin, NT 0909, Australia</t>
  </si>
  <si>
    <t>Australian Antarctic Division; University of Pretoria; University of Tasmania; Charles Darwin University</t>
  </si>
  <si>
    <t>Univ Coll Swansea, Sch Biol Sci, Swansea SA2 8PP, W Glam, Wales.</t>
  </si>
  <si>
    <t>C.R.McMahon@swansea.ac.uk</t>
  </si>
  <si>
    <t>McMahon, Clive R/D-5713-2013; Hindell, Mark A/C-8368-2013; Bester, Marthán N/E-5387-2010; Bradshaw, Corey J. A./A-1311-2008; Hindell, Mark A/K-1131-2013</t>
  </si>
  <si>
    <t>McMahon, Clive R/0000-0001-5241-8917; Bradshaw, Corey J. A./0000-0002-5328-7741; Hindell, Mark/0000-0002-7823-7185</t>
  </si>
  <si>
    <t>0305-1838</t>
  </si>
  <si>
    <t>1365-2907</t>
  </si>
  <si>
    <t>MAMMAL REV</t>
  </si>
  <si>
    <t>Mammal Rev.</t>
  </si>
  <si>
    <t>10.1111/j.1365-2907.2005.00055.x</t>
  </si>
  <si>
    <t>Ecology; Zoology</t>
  </si>
  <si>
    <t>Environmental Sciences &amp; Ecology; Zoology</t>
  </si>
  <si>
    <t>889VM</t>
  </si>
  <si>
    <t>WOS:000226470900004</t>
  </si>
  <si>
    <t>Jackson, GD; O'Dor, RK; Andrade, Y</t>
  </si>
  <si>
    <t>First tests of hybrid acoustic/archival tags on squid and cuttlefish</t>
  </si>
  <si>
    <t>MARINE AND FRESHWATER RESEARCH</t>
  </si>
  <si>
    <t>acoustic telemetry; archival tags; data loggers; RAPT</t>
  </si>
  <si>
    <t>PACIFIC; GROWTH; TRACKING; RATES; LIFE</t>
  </si>
  <si>
    <t>This study demonstrates the simultaneous use of acoustic and archival tags for obtaining data for near-shore species. Australian giant cuttlefish Sepia apama ( off Whyalla, South Australia) and the tropical squid Sepioteuthis lessoniana ( off Magnetic Island, Queensland, Australia) were tagged using a 'hybrid' tag consisting of a Vemco V8 acoustic tag potted with a Vemco minilog temperature - depth archival tag. Four of these animals were released and monitored inside radio-acoustic-positioning-telemetry ( RAPT) buoy-system arrays that included bottom-mounted sensors that transmitted independent temperature records and a reference standard for sound conductivity and position. All were subsequently located out of RAPT range and two of the four archival tags were recovered. Tags were located using a boat-mounted hydrophone and VR60 receiver and recovery was aided by a diver operating a hand-held VUR96 receiver. This technology provides a cost-effective alternative to expensive satellite pop-up tags and is suitable for much smaller species that return to near-shore environments.</t>
  </si>
  <si>
    <t>Univ Tasmania, Inst Antarctic &amp; So Ocean Studies, Hobart, Tas 7001, Australia; CORE, Census Marine Life, Washington, DC 20036 USA; Dalhousie Univ, Dept Biol, Halifax, NS B3H 4J1, Canada</t>
  </si>
  <si>
    <t>University of Tasmania; Dalhousie University</t>
  </si>
  <si>
    <t>1323-1650</t>
  </si>
  <si>
    <t>1448-6059</t>
  </si>
  <si>
    <t>MAR FRESHWATER RES</t>
  </si>
  <si>
    <t>Mar. Freshw. Res.</t>
  </si>
  <si>
    <t>10.1071/MF04248</t>
  </si>
  <si>
    <t>Fisheries; Limnology; Marine &amp; Freshwater Biology; Oceanography</t>
  </si>
  <si>
    <t>938UI</t>
  </si>
  <si>
    <t>WOS:000230028500007</t>
  </si>
  <si>
    <t>McMinn, A; Sellah, S; Llah, WAWA; Mohammad, M; Merican, FMS; Omar, WMW; Samad, F; Cheah, W; Idris, I; Sim, YK; Wong, WS; Tan, SH; Yasin, Z</t>
  </si>
  <si>
    <t>Quantum yield of the marine benthic microflora of near-shore coastal Penang, Malaysia</t>
  </si>
  <si>
    <t>microphytobenthos; phytoplankton; sediment</t>
  </si>
  <si>
    <t>CHLOROPHYLL FLUORESCENCE; PHOTOSYNTHETIC PERFORMANCE; NORTH-CAROLINA; SEA-ICE; MICROPHYTOBENTHOS; PHYTOPLANKTON; POPULATIONS; FLUOROMETRY; SEDIMENTS; SOUND</t>
  </si>
  <si>
    <t>Benthic microalgal communities often contribute more than 30% of the primary production of shallow coastal and estuarine areas. At Muka Head Penang ( Pulau Pinang) and the Songsong Islands ( Pulau Songsong), Kedah, Malaysia, high concentrations of suspended solids and phytoplankton biomass (10.6 mg Ch1 alpha m(-3)) has reduced water clarity such that the euphotic zone of these areas is less than 2m and 3 m deep respectively. The benthic microalgal communities, which were composed of the diatom genera Cocconeis, Fragilaria, Paralia and Pleurosigma, had a low biomass, had low maximum quantum yields (0.325 +/- 0.129), were poorly adapted to their light environment and were constantly light limited. These characteristics suggest that the benthic microalgal communities were likely to have made only a minor contribution to the total primary production of the area.</t>
  </si>
  <si>
    <t>Univ Tasmania, Inst Antarctic &amp; So Ocean Studies, Hobart, Tas 7001, Australia; Univ Sains Malaysia, Sch Biol Sci, George Town, Malaysia</t>
  </si>
  <si>
    <t>University of Tasmania; Universiti Sains Malaysia</t>
  </si>
  <si>
    <t>McMinn, A (corresponding author), Univ Tasmania, Inst Antarctic &amp; So Ocean Studies, Box 252-77, Hobart, Tas 7001, Australia.</t>
  </si>
  <si>
    <t>andrew.mcminn@utas.edu.au</t>
  </si>
  <si>
    <t>McMinn, Andrew/A-9910-2008; Bin Idris, Izwandy/Q-1480-2018; Mohammad, Mahadi/ABF-5206-2020; Cheah, Wee/C-8282-2012; Merican, Faradina/F-6785-2019; Bin Idris, Izwandy/IZP-8069-2023; Shau Hwai Aileen, Tan/E-5564-2018</t>
  </si>
  <si>
    <t>Mohammad, Mahadi/0000-0003-4091-3739; Cheah, Wee/0000-0002-1824-0577; Shau Hwai Aileen, Tan/0000-0001-8690-047X; Mohd. Sidik Merican, Faradina Merican/0000-0002-1527-8991</t>
  </si>
  <si>
    <t>C S I R O PUBLISHING</t>
  </si>
  <si>
    <t>COLLINGWOOD</t>
  </si>
  <si>
    <t>150 OXFORD ST, PO BOX 1139, COLLINGWOOD, VICTORIA 3066, AUSTRALIA</t>
  </si>
  <si>
    <t>10.1071/MF05007</t>
  </si>
  <si>
    <t>979ZK</t>
  </si>
  <si>
    <t>WOS:000232983500011</t>
  </si>
  <si>
    <t>Ellwood, MJ; van den Berg, CMG; Boye, M; Veldhuis, M; de Jong, JTM; de Baar, HJW; Croot, PL; Kattner, G</t>
  </si>
  <si>
    <t>Organic complexation of cobalt across the Antarctic Polar Front in the Southern Ocean</t>
  </si>
  <si>
    <t>ligands; speciation</t>
  </si>
  <si>
    <t>CATHODIC STRIPPING VOLTAMMETRY; CARBONIC-ANHYDRASE; MARINE DIATOM; WATERS; SEAWATER; IRON; ZINC; LIGANDS; PRYMNESIOPHYCEAE; PHYTOPLANKTON</t>
  </si>
  <si>
    <t>There is compelling evidence to demonstrate that phytoplankton in major regions of the world's oceans are limited by the availability of certain trace elements, notably iron. Cobalt concentrations in open-ocean waters generally range between 10 and 120 pmol L-1 but such levels were not thought to limit phytoplankton growth. Herein, we present data for total dissolved cobalt and cobalt-complexing ligands for two stations located south ( station 200) and north (station 204) of the Antarctic Polar Front (APF) along 20 degrees E in the South Atlantic sector of the Southern Ocean. Results indicate that there was little difference between total cobalt concentrations south and north of the APF, whereas ligand concentrations were significantly higher (15-20 pmol L-1) for the upper water column south of the APF. Productivity in these waters was low at the time of this study; however, numbers of large eukaryotic algal species were higher south of the APF, while north of the APF small eukaryotic and prokaryotic species dominated. The higher ligand concentrations measured at the southern station are probably related to higher algal numbers at this site. Because ligand concentrations were higher, inorganic cobalt concentrations (Co') south of the APF are extremely low, at femtomolar levels, whereas north of the APF calculated Co' are much higher at picomolar levels where ligand concentrations were lower.</t>
  </si>
  <si>
    <t>Natl Inst Water &amp; Atmospher Res, Hamilton, New Zealand; Univ Liverpool, Liverpool L69 3BX, Merseyside, England; LEMAR, CNRS, UMR 6539, IUEM, F-29280 Plouzane, France; Netherlands Inst Sea Res, Texel, Netherlands; Univ Libre Bruxelles, Dept Earth &amp; Environm Sci, B-1050 Brussels, Belgium; IFM, GEOMAR, Leibniz Inst Meereswissensch, D-24105 Kiel, Germany; Alfred Wegener Inst Polar &amp; Marine Res, D-27570 Bremerhaven, Germany</t>
  </si>
  <si>
    <t>National Institute of Water &amp; Atmospheric Research (NIWA) - New Zealand; University of Liverpool; Centre National de la Recherche Scientifique (CNRS); Ifremer; Institut de Recherche pour le Developpement (IRD); Universite de Bretagne Occidentale; Institut Universitaire Europeen de la Mer (IUEM); CNRS - Institute of Ecology &amp; Environment (INEE); Utrecht University; Royal Netherlands Institute for Sea Research (NIOZ); Universite Libre de Bruxelles; Helmholtz Association; GEOMAR Helmholtz Center for Ocean Research Kiel; Helmholtz Association; Alfred Wegener Institute, Helmholtz Centre for Polar &amp; Marine Research</t>
  </si>
  <si>
    <t>Ellwood, MJ (corresponding author), Natl Inst Water &amp; Atmospher Res, POB 11 115, Hamilton, New Zealand.</t>
  </si>
  <si>
    <t>m.ellwood@niwa.co.nz</t>
  </si>
  <si>
    <t>Ellwood, Michael J/G-7390-2011; de Jong, Jeroen/F-3190-2011; Croot, Peter/C-8460-2009; Croot, Peter/U-5296-2019; van den Berg, Constant/A-7065-2012</t>
  </si>
  <si>
    <t>Croot, Peter/0000-0003-1396-0601; Ellwood, Michael/0000-0003-4288-8530; de Jong, Jeroen/0000-0002-3034-5929; van den Berg, Constant/0000-0003-2234-9345</t>
  </si>
  <si>
    <t>Natural Environment Research Council [NE/B000176/1] Funding Source: researchfish</t>
  </si>
  <si>
    <t>10.1071/MF05097</t>
  </si>
  <si>
    <t>986DR</t>
  </si>
  <si>
    <t>WOS:000233430600002</t>
  </si>
  <si>
    <t>Lang, S; Hüners, M; Lurtz, V</t>
  </si>
  <si>
    <t>Gal, YL; Ulber, R</t>
  </si>
  <si>
    <t>Bioprocess engineering data on the cultivation of marine prokaryotes and fungi</t>
  </si>
  <si>
    <t>MARINE BIOTECHNOLOGY II</t>
  </si>
  <si>
    <t>Advances in Biochemical Engineering-Biotechnology</t>
  </si>
  <si>
    <t>mesophilic; psychrophilic; hyperthermophilic microbes; barophilic microbes; bioreactor design; bioactive metabolite and enzyme production</t>
  </si>
  <si>
    <t>L-GLUTAMINASE PRODUCTION; PSYCHROTOLERANT ANTARCTIC BACTERIA; HYPOXYLON-OCEANICUM LL-15G256; MICROMONOSPORA SP TP-A0316; SOLID-STATE FERMENTATION; PHYSICOCHEMICAL PROPERTIES; PHOTOSYNTHETIC BACTERIUM; TEMPERATURE-DEPENDENCE; ANTICANCER ANTIBIOTICS; HYDROSTATIC-PRESSURE</t>
  </si>
  <si>
    <t>The temperature/pressure dependency of marine prokaryotes and fungi, in terms of their growth behaviour as well as their potential to produce new metabolites or enzymes, is evaluated. Advanced shake-flask cultivations and controlled bioreactor cultivations following the batch-type, fed-batch-type and/or continuous-type procedures are summarized. After a summary of the fermentation data available so far, values on maximal biomass, specific growth rates, and (sub)optimal production yields are presented. The application of mesophilic microbes, especially bioactive metabolites, to intensify bioprocess engineering studies, is the goal. Cold-active enzymes and thermostable enzymes are the targets of experiments with psychrophilic and hyperthermophilic enzymes. A special challenge to bioengineers is also provided by barophilic strains originating from depths of, say, nearly 11 000 m, or from hydrothermal vents.</t>
  </si>
  <si>
    <t>Tech Univ Braunschweig, Inst Biochem &amp; Biotechnol, D-38106 Braunschweig, Germany</t>
  </si>
  <si>
    <t>Braunschweig University of Technology</t>
  </si>
  <si>
    <t>Lang, S (corresponding author), Tech Univ Braunschweig, Inst Biochem &amp; Biotechnol, Spielmannstr 7, D-38106 Braunschweig, Germany.</t>
  </si>
  <si>
    <t>s.lang@tu-bs.de</t>
  </si>
  <si>
    <t>0724-6145</t>
  </si>
  <si>
    <t>1616-8542</t>
  </si>
  <si>
    <t>3-540-25669-5</t>
  </si>
  <si>
    <t>ADV BIOCHEM ENG BIOT</t>
  </si>
  <si>
    <t>Adv. Biochem. Eng. Biotechnol.</t>
  </si>
  <si>
    <t>10.1007/b135822</t>
  </si>
  <si>
    <t>10.1007/b135820</t>
  </si>
  <si>
    <t>BDL14</t>
  </si>
  <si>
    <t>WOS:000234108100002</t>
  </si>
  <si>
    <t>Hughes, AD; Catarino, AI; Kelly, MS; Barnes, DKA; Black, KD</t>
  </si>
  <si>
    <t>Gonad fatty acids and trophic interactions of the echinoid Psammechinus miliaris</t>
  </si>
  <si>
    <t>MARINE ECOLOGY PROGRESS SERIES</t>
  </si>
  <si>
    <t>sea urchin; fatty acid; gonadal somatic indices; Psammechinus miliaris; diet</t>
  </si>
  <si>
    <t>GREEN SEA-URCHIN; PARACENTROTUS-LIVIDUS ECHINODERMATA; STRONGYLOCENTROTUS-DROEBACHIENSIS; REPRODUCTIVE-CYCLE; BIOCHEMICAL-COMPOSITION; EICOSAPENTAENOIC ACID; SEXUAL-MATURATION; MARINE-ALGAE; DIET; LIPIDS</t>
  </si>
  <si>
    <t>Variation in gonadal somatic indices (GSI) and fatty acid signatures of 2 contrasting Scottish west coast populations of the echinoid Psammechinus miliaris were examined. P. miliaris was sampled from both the shallow subtidal and at the upper limit of its distribution in the intertidal. The intertidal population had a significantly higher GSI than the subtidal at both locations. Multivariate analysis (ANOSIM) of the fatty acid signature showed significant variation between the 2 depths as well as between sex and location. SIMPER analysis indicated a complex pattern of variation between location and depths. Both 20:4(n-6) and 20:5(n-6), associated with brown algae, were found in higher levels in subtidal populations, while levels of 22:6(n-3) were higher in the intertidal at one site, and 18:4(n-3) higher at the other. Of these acids, 22:6(n-3) is associated with filter feeding invertebrates, and 18:4(n-3) with green algae. Omnivorous diets in urchins have been associated with increased gonadal growth and the results from this study strongly suggest that the observed differences in GSI between intertidal and subtidal P. miliaris result from a higher quality diet in the intertidal, consisting of invertebrates and green algae.</t>
  </si>
  <si>
    <t>Scottish Assoc Marine Sci, Oban PA37 1QA, Argyll, Scotland; Univ Lisbon, Fac Ciencias, P-1149016 Lisbon, Portugal; British Antarctic Survey, NERC, Div Biol Sci, Cambridge CB3 0ET, England</t>
  </si>
  <si>
    <t>UHI Millennium Institute; Universidade de Lisboa; UK Research &amp; Innovation (UKRI); Natural Environment Research Council (NERC); NERC British Antarctic Survey</t>
  </si>
  <si>
    <t>Hughes, AD (corresponding author), Scottish Assoc Marine Sci, Oban PA37 1QA, Argyll, Scotland.</t>
  </si>
  <si>
    <t>adam.hughes@sams.ac.uk</t>
  </si>
  <si>
    <t>C, A/J-9863-2014; Hughes, Adam D/J-7867-2013; Hughes, Adam D/L-1088-2016; Black, Kenneth D/A-7089-2010; Black, Kenneth/GXV-2598-2022</t>
  </si>
  <si>
    <t>C, A/0000-0002-8796-0869;</t>
  </si>
  <si>
    <t>INTER-RESEARCH</t>
  </si>
  <si>
    <t>OLDENDORF LUHE</t>
  </si>
  <si>
    <t>NORDBUNTE 23, D-21385 OLDENDORF LUHE, GERMANY</t>
  </si>
  <si>
    <t>0171-8630</t>
  </si>
  <si>
    <t>MAR ECOL PROG SER</t>
  </si>
  <si>
    <t>Mar. Ecol.-Prog. Ser.</t>
  </si>
  <si>
    <t>10.3354/meps305101</t>
  </si>
  <si>
    <t>Ecology; Marine &amp; Freshwater Biology; Oceanography</t>
  </si>
  <si>
    <t>Environmental Sciences &amp; Ecology; Marine &amp; Freshwater Biology; Oceanography</t>
  </si>
  <si>
    <t>008YV</t>
  </si>
  <si>
    <t>WOS:000235079200008</t>
  </si>
  <si>
    <t>Reid, K; Hill, SL; Diniz, TCD; Collins, MA</t>
  </si>
  <si>
    <t>Mackerel icefish Champsocephalus gunnari in the diet of upper trophic level predators at South Georgia:: implications for fisheries management</t>
  </si>
  <si>
    <t>antarctic fur seal; Arctocephalus gazella; ecosystem interactions; gentoo penguins; Pygoscelis papua; mackerel icefish; Champsocephalus gunnari; South Georgia</t>
  </si>
  <si>
    <t>ANTARCTIC FUR SEALS; ARCTOCEPHALUS-GAZELLA; PYGOSCELIS-PAPUA; GENTOO PENGUINS; ECOSYSTEM; CONSERVATION; RECRUITMENT; BEHAVIOR; ECOLOGY; WINTER</t>
  </si>
  <si>
    <t>The mackerel icefish Champsocephalus gunnari Lonnberg is an important component of the ecosystem at South Georgia. Its diet is dominated by Antarctic krill Euphausia superba; in turn, it is also an important prey of a number of tipper trophic level predators, as well as being the target of commercial fisheries. Data on the frequency and size structure of mackerel icefish in the diet of Antarctic fur seals Arctocephalus gazella and gentoo penguins Pygoscelis papua from 1991 to 2002 were used to examine trophic interactions involving this species and to evaluate the potential impact of predators on its population. Mackerel icefish occurred in 10 to 20 % of scats from Antarctic fur seals and comprised 48 % of the diet by mass of gentoo penguins. The contribution of mackerel icefish to the diet of predators was in inverse proportion to the contribution of Antarctic krill. The length-frequency distributions of mackerel icefish indicated a dominant mode at 130 to 180 mm total length (the 1+ age class), with apparent strong cohorts entering the population in 1993, 1996, 1999 and 2001. Extrapolation of diet data to produce a consumption estimate for the South Georgia population of Antarctic fur seals and gentoo penguins suggests that scientific trawl surveys may underestimate the standing stock of mackerel icefish by I order of magnitude. Changes in the South Georgia ecosystem over the past 2 decades may have increased the level of consumption of mackerel icefish by predators, providing a potential ecosystem-based explanation for the lack of a recovery to the pre-exploitation population size.</t>
  </si>
  <si>
    <t>Simeon, Hill L/B-2307-2008; , Martin/ABE-6728-2020; Collins, Martin A/J-8560-2017</t>
  </si>
  <si>
    <t>, Martin/0000-0001-7132-8650;</t>
  </si>
  <si>
    <t>1616-1599</t>
  </si>
  <si>
    <t>10.3354/meps305153</t>
  </si>
  <si>
    <t>WOS:000235079200013</t>
  </si>
  <si>
    <t>Hall-Aspland, SA; Rogers, TL; Canfield, RB</t>
  </si>
  <si>
    <t>Stable carbon and nitrogen isotope analysis reveals seasonal variation in the diet of leopard seals</t>
  </si>
  <si>
    <t>leopard seal; stable isotope; vibrissae; von Bertalanffy; Antarctic; prey switching</t>
  </si>
  <si>
    <t>PENGUINS PYGOSCELIS-ADELIAE; HYDRURGA-LEPTONYX; CRAB-EATER; PRYDZ BAY; PHOCA-VITULINA; TOOTH ANNULI; FRACTIONATION; DELTA-C-13; VIBRISSAE; TURNOVER</t>
  </si>
  <si>
    <t>In order to assess seasonal and spatial changes in diet, the delta N-15 and delta C-13 signatures of vibrissae from leopard seals Hydrurga leptonyx obtained from Prydz Bay, Eastern Antarctica, were compared with those of a captive seal on a known diet. Using the isotopic signatures of known prey, and those revealed by the assimilation rates of vibrissae, we constructed trophic models to estimate diet composition. Assuming that current diet was reflected only in the actively growing portion of the vibrissae, the latter were sectioned. Each section was then analysed independently, Two methods of analysis of the vibrissae isotopic data were compared in order to ascertain the best analytical approach to these data. A simple linear model and a von Bertalanffy growth model were used to estimate section age and vibrissae growth rates. The age predictions of the von Bertalanffy growth model allowed the existence of repeated seasonal oscillations in both delta N-15 and delta C-13 values. Temporal variations in stable isotope ratios consistent with changes in source of feeding (inshore vs. offshore) and prey types were identified in the Antarctic leopard seals, but not in the captive seal. This preliminary study has possible implications for the use of vibrissae to track dietary changes over time and may serve as a tool for investigating foraging preferences of highly mobile or migratory pinniped species.</t>
  </si>
  <si>
    <t>Univ Sydney, Fac Vet Sci, Sydney, NSW 2006, Australia; Univ Sydney, Australian Marine Mammal Res Ctr, Zool Pks Board NSW, Fac Vet Sci, Sydney, NSW 2088, Australia</t>
  </si>
  <si>
    <t>University of Sydney; University of Sydney</t>
  </si>
  <si>
    <t>10.3354/meps305249</t>
  </si>
  <si>
    <t>WOS:000235079200020</t>
  </si>
  <si>
    <t>Chilvers, BL; Wilkinson, IS; Duignan, PJ; Gemmell, NJ</t>
  </si>
  <si>
    <t>Summer foraging areas for lactating New Zealand sea lions Phocarctos hookeri</t>
  </si>
  <si>
    <t>Phocarctos hookeri; New Zealand sea lions; foraging ecology; fisheries interaction</t>
  </si>
  <si>
    <t>ANTARCTIC FUR SEALS; FEMALE NEW-ZEALAND; ARCTOCEPHALUS-GAZELLA; ATTENDANCE PATTERNS; DIVING BEHAVIOR; STRATEGIES</t>
  </si>
  <si>
    <t>The overlap between marine mammal species and fisheries is a source of ongoing conflict and concern. This study used satellite telemetry to examine the foraging patterns of 26 lactating female New Zealand sea lions Phocarctos hookeri from the Sandy Bay colony, Enderby Island, Auckland Islands (50 degrees 50 degrees S, 166 degrees 28 degrees E), over 4 consecutive austral summers from 2001 to 2004. Animals were fitted with satellite-linked platform transmitting terminals (PTTs), which yielded 9200 filtered foraging locations at sea. Trips lasted a mean of 66.2 h (SE = 4.2, n = 183). Mean return travel distance per trip was 423 km (SE = 43.9, max. = 1087, n = 1.83). There was a high level of variation in individual foraging parameters, and evidence of individual preference and partitioning in foraging locations among individuals within the colony. New Zealand sea lions exhibited preferential use of the continental shelf and its edge and this pattern was consistent among years. Female foraging locations overlap temporally and spatially with the operation of the sub-Antarctic arrow squid trawl fishery. Here we identify the key foraging areas for female New Zealand sea lions from Sandy Bay, show how these overlap with the operational areas of the squid fishery and discuss the importance of these findings to the management of New Zealand sea lions and the sub-Antarctic squid fishery.</t>
  </si>
  <si>
    <t>Dept Conservat, Sci &amp; Res Unit, Wellington, New Zealand; Massey Univ, IVABS, New Zealand Wildlife Hlth Ctr, Palmerston North, New Zealand; Univ Canterbury, Sch Biol Sci, Christchurch 1, New Zealand</t>
  </si>
  <si>
    <t>Massey University; University of Canterbury</t>
  </si>
  <si>
    <t>Dept Conservat, Sci &amp; Res Unit, POB 10-420, Wellington, New Zealand.</t>
  </si>
  <si>
    <t>lchilvers@doc.govt.nz</t>
  </si>
  <si>
    <t>Wilkinson, Ian/F-2291-2010; Wilkinson, Ian S/ABG-2772-2020; Chilvers, B. Louise/AAV-1965-2021; Gemmell, Neil/C-6774-2009</t>
  </si>
  <si>
    <t>Chilvers, B. Louise/0000-0002-7657-4217; Gemmell, Neil/0000-0003-0671-3637</t>
  </si>
  <si>
    <t>10.3354/meps304235</t>
  </si>
  <si>
    <t>004JW</t>
  </si>
  <si>
    <t>WOS:000234750100021</t>
  </si>
  <si>
    <t>Sun, LG; Zhu, RB; Liu, XD; Xie, ZQ; Yin, XB; Zhao, SP; Wang, YH</t>
  </si>
  <si>
    <t>HCI-soluble 87Sr/86Sr ratio in sediments impacted by penguin or seal excreta as a proxy for historical population size in the maritime Antarctic</t>
  </si>
  <si>
    <t>strontium isotope; Antarctica; penguin guano; seal excreta; sediment</t>
  </si>
  <si>
    <t>KING-GEORGE-ISLAND; ENVIRONMENTAL-CHANGE; STRONTIUM ISOTOPES; ECOSYSTEM; ADELIE; SENSITIVITY; INDICATORS; PENINSULA; TRANSPORT; ROOKERY</t>
  </si>
  <si>
    <t>The strontium (Sr) isotopic compositions in the HCl-soluble and insoluble fractions of sediments impacted by penguin and seal excreta in the maritime Antarctic were analyzed. The HCl-soluble phase of the sediments impacted by penguin guano has a high Sr-87/Sr-86 ratio (average 0.7087), close to the ratio in seawater (average 0.7092), suggesting that the Sr-87/Sr-86 ratios in the sediments are significantly impacted by penguin guano. The Sr-87/Sr-86 ratios in the HCl-soluble phase of the sediments impacted by seal excreta vary between 0.705066 and 0.706117, with an average of 0.705507, higher than those of the local bedrock, but lower than the ratio in modern seawater; they are interpreted to be a mixture of Sr from seal excreta (30 to 50 %) and the weathering products of the local bedrock (50 to 70 %). The Sr contributions from penguin guano and seal excreta were calculated using the 2-member isotope mixing equation, and they have a significant correlation with the historical penguin population size as estimated from other geochemical analyses and the seal hair density in the sediments, respectively. These results suggest that the Sr-87/Sr-86 ratios in the HCl-soluble fraction of sediments impacted by penguin or seal excreta can potentially be used as an indirect and new proxy for the historical population size of these sea animals in the maritime Antarctic.</t>
  </si>
  <si>
    <t>Sun, LG (corresponding author), Univ Sci &amp; Technol China, Inst Polar Environm, Anhua 230026, Peoples R China.</t>
  </si>
  <si>
    <t>10.3354/meps303043</t>
  </si>
  <si>
    <t>996ZJ</t>
  </si>
  <si>
    <t>WOS:000234214500003</t>
  </si>
  <si>
    <t>Lescroël, A; Bost, CA</t>
  </si>
  <si>
    <t>Foraging under contrasting oceanographic conditions:: the gentoo penguin at Kerguelen Archipelago</t>
  </si>
  <si>
    <t>Pygoscelis papua; foraging strategy; diving behavior; at-sea distribution; behavioural plasticity; geographic variation; prey availability; marine predator</t>
  </si>
  <si>
    <t>ANTARCTIC FUR SEALS; SHAGS PHALACROCORAX-ARISTOTELIS; KING-GEORGE-ISLAND; PYGOSCELIS-PAPUA; ADELIE PENGUINS; DIVING BEHAVIOR; EMPEROR PENGUINS; ECOLOGICAL SEGREGATION; APTENODYTES FORSTERI; ROCKHOPPER PENGUINS</t>
  </si>
  <si>
    <t>Coastal seabirds are bound to be dependent on local marine resources. We hypothesize that the localization of the breeding colony will influence the foraging patterns of such predators. The foraging behavior of gentoo penguins Pygoscelis papua was investigated in contrasting marine environments at Kerguelen Archipelago over the 2002-03 and 2003-04 breeding seasons. Using time-depth recorders (TDRs) and satellite transmitters, we describe the at-sea distribution and diving behavior of gentoo penguins breeding in 2 colonies facing the open sea (Open Sea 1 and Open Sea 2) and 1 colony protected in a closed bay (Closed Sea). The foraging behavior varies extensively across the Kerguelen Archipelago, almost as much as it does over the entire range of the species. Different foraging strategies emerge, depending on the local conditions: large foraging ranges, long trips, long benthic dives on demersal fish at Open Sea colonies versus small foraging ranges, short trips, short pelagic dives on swarming crustaceans at Closed Sea, for a same foraging effort. The diving behavior of the gentoo penguin therefore varies as a function of the locality and the site, closely related to prey availability. This study demonstrates the importance of foraging plasticity as a fundamental aspect of life history in coastal marine predators.</t>
  </si>
  <si>
    <t>CNRS, Ctr Etud Biol Chize, UPR 1934, F-79360 Villiers En Bois, France</t>
  </si>
  <si>
    <t>CNRS, Ctr Etud Biol Chize, UPR 1934, F-79360 Villiers En Bois, France.</t>
  </si>
  <si>
    <t>lescroel@cebc.cnrs.fr</t>
  </si>
  <si>
    <t>10.3354/meps302245</t>
  </si>
  <si>
    <t>990NH</t>
  </si>
  <si>
    <t>WOS:000233750000020</t>
  </si>
  <si>
    <t>Congdon, BC; Krockenberger, AK; Smithers, BV</t>
  </si>
  <si>
    <t>Dual-foraging and co-ordinated provisioning in a tropical Procellariiform, the wedge-tailed shearwater</t>
  </si>
  <si>
    <t>dual-foraging; co-ordinated provisioning; feeding ecology; wedge-tailed shearwater; Puffinus pacificus; Procellariiform; Great Barrier Reef</t>
  </si>
  <si>
    <t>PELAGIC SEABIRD; ANTARCTIC WATERS; BODY CONDITION; CHICK; ALBATROSSES; AUSTRALIA; PATTERNS; STRATEGY; DIOMEDEA; GROWTH</t>
  </si>
  <si>
    <t>To sustain breeding while simultaneously compensating for poor local resource availability, many temperate Procellariiformes (tube-nosed seabirds) access highly productive areas 'at-distance' from breeding colonies using a unique dual-foraging strategy. We tested for, and observed, a similar dual foraging strategy in a tropical Procellariiform, the wedge-tailed shearwater Puffinus pacificus. Foraging adults repeatedly performed short-trip cycles of multiple 1 to 4 d trips followed by a single long-trip of similar to 8 d. As with temperate species, wedge-tailed shearwaters used long-trips to build body reserves that they passed onto chicks by not self-provisioning adequately during the early stages of each short-trip cycle. Unlike temperate species (1) long-trip length and adult mass change during long-trips was inversely related to adult mass at the beginning of the same long-trip, and (2) foraging mode changeover appeared to be co-ordinated and was not initiated by adults reaching some critical lower mass. This implies that the dual-foraging pattern observed in wedge-tailed shearwaters is a consequence of the median time adults require to replenish body reserves on long-trips. We conclude that foraging strategies in wedge-tailed shearwaters vary spatially relative to near-colony resource availability, and that dual-foraging is a general Procellariiform life-history strategy used to address similar ecological constraints in both temperate and tropical systems. Our findings suggest that wedge-tailed shearwaters of the southern Great Barrier Reef (GBR) may be dependent on localised areas of high productivity 'at-distance' from breeding colonies to sustain breeding.</t>
  </si>
  <si>
    <t>James Cook Univ N Queensland, Sch Trop Biol, Cairns, Qld 4870, Australia</t>
  </si>
  <si>
    <t>James Cook University</t>
  </si>
  <si>
    <t>Congdon, BC (corresponding author), James Cook Univ N Queensland, Sch Trop Biol, POB 6811, Cairns, Qld 4870, Australia.</t>
  </si>
  <si>
    <t>brad.congdon@jcu.edu.au</t>
  </si>
  <si>
    <t>Congdon, Bradley C/J-9181-2012; Krockenberger, Andrew K/C-1323-2010</t>
  </si>
  <si>
    <t>Congdon, Bradley C/0000-0002-8751-0892; Smithers, Brian/0000-0001-9088-6252; Krockenberger, Andrew/0000-0003-2872-9939</t>
  </si>
  <si>
    <t>10.3354/meps301293</t>
  </si>
  <si>
    <t>988CT</t>
  </si>
  <si>
    <t>Bronze, Green Accepted</t>
  </si>
  <si>
    <t>WOS:000233569700024</t>
  </si>
  <si>
    <t>Mincks, SL; Smith, CR; DeMaster, DJ</t>
  </si>
  <si>
    <t>Persistence of labile organic matter and microbial biomass in Antarctic shelf sediments: evidence of a sediment 'food bank'</t>
  </si>
  <si>
    <t>Antarctic sediments; microbial biomass; chlorophyll a; enzymatically hydrolyzable amino acids; temperature-substrate limitation; phytodetritus</t>
  </si>
  <si>
    <t>NORTHEAST WATER POLYNYA; PORCUPINE ABYSSAL-PLAIN; LOW-TEMPERATURE OPTIMA; WESTERN KIEL BIGHT; CHLOROPHYLL-A; BENTHIC RESPONSE; AMINO-ACIDS; ROSS SEA; EQUATORIAL PACIFIC; CONTINENTAL-SHELF</t>
  </si>
  <si>
    <t>The West Antarctic Peninsula (WAP) shelf experiences a highly seasonal flux of particulate organic carbon following the retreat of winter sea ice, which results in deposition of labile food material for benthic detritivores. We conducted a seasonal time-series study (November 1999 through March 2001) on the WAP shelf to determine the timing and magnitude of bloom deposition on the sea floor, and the effects of seasonal deposition on microbial biomass, and persistence of labile organic material in sediments. Despite substantial seasonal changes in particle flux, the concentrations and inventories of chlorophyll a (chl a) and enzymatically hydrolyzable amino acids (EHAA) in near-surface sediments showed only modest seasonal variation. Interannual differences in particle flux were also large, but evidence of an elevated flux was not observed below the top 3 cm of sediment. Chl a and EHAA penetrated deeply (&gt; 5 cm) into the sediments, and had long half-lives (months to years) even in high-flux summer months. These results provide evidence of a long-term sediment 'food bank' for detritivores. Microbial biomass was relatively high in the top 2 cm of the sediments (similar to 1.5 to 12.4 mu g ATP g(-1) sediment), and showed only limited response to phytodetrital deposition. Despite high sediment inventories of labile organic matter and microbial biomass, rates of organic matter mineralization were in balance with sinking particle flux. We postulate that a requirement for high substrate concentrations for microbial mineralization of organic matter at low Antarctic temperatures may promote the existence of a 'food bank' of labile material in WAP shelf sediments. Further, effects of continued climatic warming on these sediments could enhance microbial remineralization of organic matter, decreasing background levels of labile material in sediments, and altering organic matter storage and food availability for detritivores on the WAP shelf.</t>
  </si>
  <si>
    <t>Univ Hawaii, Dept Oceanog, Honolulu, HI 96822 USA; N Carolina State Univ, Dept Marine Earth &amp; Atmospher Sci, Raleigh, NC 27695 USA</t>
  </si>
  <si>
    <t>University of Hawaii System; North Carolina State University</t>
  </si>
  <si>
    <t>Univ Hawaii, Dept Oceanog, 1000 Pope Rd, Honolulu, HI 96822 USA.</t>
  </si>
  <si>
    <t>mincks@hawaii.edu</t>
  </si>
  <si>
    <t>Nerot, Caroline/C-6952-2009</t>
  </si>
  <si>
    <t>Mincks, Sarah/0000-0002-3328-712X</t>
  </si>
  <si>
    <t>10.3354/meps300003</t>
  </si>
  <si>
    <t>976EF</t>
  </si>
  <si>
    <t>WOS:000232714900003</t>
  </si>
  <si>
    <t>Garrison, DL; Gibson, A; Coale, SL; Gowing, MM; Okolodkov, YB; Fritsen, CH; Jeffries, MO</t>
  </si>
  <si>
    <t>Sea-ice microbial communities in the Ross Sea: autumn and summer biota</t>
  </si>
  <si>
    <t>sea ice community; Antarctic; protists</t>
  </si>
  <si>
    <t>ANTARCTIC PACK ICE; WEDDELL SEA; CHOANOFLAGELLATES ACANTHOECIDAE; BRINE COMMUNITY; MCMURDO SOUND; LARGE VIRUSES; GEN-NOV; DINOFLAGELLATE; ASSEMBLAGES; ECOLOGY</t>
  </si>
  <si>
    <t>The composition of sea ice communities in the Ross Sea region was examined during the autumn to winter transition and during the summer. The biomass of autotrophs and heterotrophs in autumn reached maximum values of 709 and 167 mg C m(-2), and in summer maximum values of 3873 and 209 mg C m(-2), respectively. During the autumn-winter cruise, most of the biomass was found within ice floes as interior and bottom layer communities. During summer, surface-layer slush communities occurred throughout the ice-covered regions. The biomass was highly variable throughout the study regions during both cruises. Diatoms dominated the autotrophic biomass; however, autotrophic dinoflagellates and autotrophic flagellates contributed significantly to the community make-up. Among heterotrophs, ciliates predominated during both cruises, followed by heterotrophic flagellates and heterotrophic dinoflagellates. Similarity analysis, based on the biomass composition of major groups, showed consistency between and within cruises, with most samples &gt; 70% similar. The autumn to winter samples (all from within floes) showed higher similarity clusters that could be related to changing compositions of diatoms, ciliates, and autotrophic dinoflagellates. Most variable were some summer surface slush samples, where samples dominated by Phaeocystis, Pyraminionas, Gymnodinium, and the ciliate Gymnozoum formed outlying clusters. The dynamics of ice biota may be determined by relatively few taxa that are persistently found within the ice floes. Surface blooms may develop either from a biota within the ice or from opportunistic forms from the water column that are introduced during flooding events. Thus, these assemblages may show considerably more variability in composition than those that develop within the underlying ice.</t>
  </si>
  <si>
    <t>Univ Calif Santa Cruz, Inst Marine Sci, Santa Cruz, CA 95064 USA; Natl Sci Fdn, Div Ocean Sci, Biol Oceanog Program, Arlington, VA 22230 USA; Univ Veracruzana, Ctr Ecol &amp; Pesquerias, Veracruz 94290, CP, Mexico; Desert Res Inst, Div Earth &amp; Ecosyst Sci, Reno, NV 89512 USA; Univ Alaska Fairbanks, Inst Geophys, Fairbanks, AK 99775 USA</t>
  </si>
  <si>
    <t>University of California System; University of California Santa Cruz; National Science Foundation (NSF); NSF - Directorate for Geosciences (GEO); NSF - Division of Ocean Sciences (OCE); Universidad Veracruzana; Nevada System of Higher Education (NSHE); Desert Research Institute NSHE; University of Alaska System; University of Alaska Fairbanks</t>
  </si>
  <si>
    <t>Univ Calif Santa Cruz, Inst Marine Sci, Santa Cruz, CA 95064 USA.</t>
  </si>
  <si>
    <t>dgarriso@nsf.gov</t>
  </si>
  <si>
    <t>10.3354/meps300039</t>
  </si>
  <si>
    <t>WOS:000232714900005</t>
  </si>
  <si>
    <t>Nyssen, F; Brey, T; Dauby, P; Graeve, M</t>
  </si>
  <si>
    <t>Trophic position of Antarctic amphipods - enhanced analysis by a 2-dimensional biomarker assay</t>
  </si>
  <si>
    <t>2-dimensional biomarker; trophic relationships; stable isotopes; fatty acids; Amphipoda; Antarctic ecology</t>
  </si>
  <si>
    <t>FATTY-ACID-COMPOSITION; WAX ESTERS; STABLE-ISOTOPES; FOOD-WEB; CALANUS-PROPINQUUS; LIPID COMPOSITIONS; CALANOIDES-ACUTUS; CARBON ISOTOPES; DIET; DELTA-N-15</t>
  </si>
  <si>
    <t>The discrepancy between the ecological significance of amphipods in the Antarctic and our poor knowledge of their ecofunctional role calls for a more detailed investigation of their trophic status in this ecosystem. A total of 12 amphipod species from suspension feeder to scavenger have been considered in this study. Our objective was to investigate whether the combination of fatty-acid and stable-isotope signatures into a 2-dimensional trophic biomarker assay would increase accuracy in the identification of Antarctic benthic amphipod trophic position. Amphipod isotopic averages ranged from -29.3 parts per thousand (delta C-13) and 4.1 parts per thousand (delta N-15) for the suspension feeder Ampelisca richardsoni to -21.7 parts per thousand (delta C-13) and 11.9 parts per thousand (delta N-15) for the high predator Iphimediella sp. Cluster analysis of the fatty-acid composition separated the amphipod species into 4 trophic groups: suspension feeders, macroherbivores, omnivores and scavengers. The suspension feeder was isolated due to an important proportion of 18:4(n-3), a fatty-acid biomarker of phytoplankton. Macro-herbivores were found to rely heavily on macroalgal carbon, containing a high percentage of arachidonic acid (20:4(n-6)). Scavenger amphipods revealed a unique fatty-acid composition dominated by 1 single fatty acid, 18:1(n-9), probably the result of a very intensive de novo biosynthesis to cope with starvation periods. Our data emphasise the need to combine different types of information to be able to draw the right conclusions regarding trophic ecology. Indeed, in some cases, the exclusive use of 1 type of tracing method, fatty acids or stable isotopes, would have resulted in misleading/false conclusions in the trophic classification of amphipods. Therefore, a 2-dimensional biomarker assay is a useful tool to elucidate the trophic positions of benthic amphipods.</t>
  </si>
  <si>
    <t>Univ Liege, Ctr MARE, Lab Oceanol, Inst Chim, B-4000 Cointe Ougree, Belgium; Inst Royal Sci Nat Belgique, B-1000 Brussels, Belgium; Alfred Wegener Inst Polar &amp; Marine Res, D-27570 Bremerhaven, Germany</t>
  </si>
  <si>
    <t>University of Liege; Helmholtz Association; Alfred Wegener Institute, Helmholtz Centre for Polar &amp; Marine Research</t>
  </si>
  <si>
    <t>Univ Liege, Ctr MARE, Lab Oceanol, Inst Chim, B6, B-4000 Cointe Ougree, Belgium.</t>
  </si>
  <si>
    <t>fabienne.nyssen@naturalsciences.be</t>
  </si>
  <si>
    <t>Bond, Alexander L/A-3786-2010; Graeve, Martin/B-5751-2017</t>
  </si>
  <si>
    <t>Brey, Thomas/0000-0002-6345-2851; Graeve, Martin/0000-0002-2294-1915</t>
  </si>
  <si>
    <t>10.3354/meps300135</t>
  </si>
  <si>
    <t>Green Submitted, Bronze, Green Published</t>
  </si>
  <si>
    <t>WOS:000232714900013</t>
  </si>
  <si>
    <t>Zhou, M; Zhu, YW; Tande, KS</t>
  </si>
  <si>
    <t>Circulation and behavior of euphausiids in two Norwegian sub-Arctic fjords</t>
  </si>
  <si>
    <t>circulation; advection; aggregation; migration; behavior; euphausiids</t>
  </si>
  <si>
    <t>DIEL VERTICAL MIGRATION; DOPPLER CURRENT PROFILER; ZOOPLANKTON COMMUNITY; CALANUS-FINMARCHICUS; CALIFORNIA CURRENT; ANTARCTIC KRILL; NORTHERN NORWAY; MEGANYCTIPHANES-NORVEGICA; ECOLOGICAL INVESTIGATIONS; THYSANOESSA-INERMIS</t>
  </si>
  <si>
    <t>We conducted 2 cruises in 2 subarctic fjords, Ullsfjorden and Sorfjorden, northern Norway, to investigate the role of coupled advection and individual behavior of euphausiids in determining their distribution and retention. The surveys examined the seasonal change in buoyancy-driven circulation in fjords due to surface cooling and ice formation during the fall and winter, and surface heating, freshwater runoff and a deep-water intrusion during the spring, as well as seasonal variations in euphausiid distribution and migration. The causes leading to vertical migration of euphausiids were studied by light and food measurements. Euphausiid transport was examined on the basis of timing and duration of euphausiid migration, as well as variations in water currents. Our results demonstrate the entrapment of euphausiids in these fjords. To understand the aggregation mechanisms, euphausiid swimming behavior was studied in terms of cruising speed, escape velocity, deterministic swimming and random walking. Existing stochastic aggregation theories were used to interpret the observations of swimming behavior. The mismatch between theories and observations found in this study led us to construct a new model configuration between aggregation, deterministic vs. random swimming, and dispersion.</t>
  </si>
  <si>
    <t>Univ Massachusetts, Dept Environm Coastal &amp; Ocean Sci, Boston, MA 02125 USA; Univ Tromso, Norwegian Coll Fishery Sci, N-9037 Tromso, Norway</t>
  </si>
  <si>
    <t>University of Massachusetts System; University of Massachusetts Boston; UiT The Arctic University of Tromso</t>
  </si>
  <si>
    <t>Univ Massachusetts, Dept Environm Coastal &amp; Ocean Sci, Boston, MA 02125 USA.</t>
  </si>
  <si>
    <t>meng.zhou@umb.edu</t>
  </si>
  <si>
    <t>10.3354/meps300159</t>
  </si>
  <si>
    <t>WOS:000232714900015</t>
  </si>
  <si>
    <t>Kaartvedt, S; Rostad, A; Fiksen, O; Melle, W; Torgersen, T; Breien, MT; Klevjer, TA</t>
  </si>
  <si>
    <t>Piscivorous fish patrol krill swarms</t>
  </si>
  <si>
    <t>swarms; fish; anti-predator benefits; behavioral cascades; Meganyctiphanes norvegica</t>
  </si>
  <si>
    <t>ANTARCTIC KRILL; CRUSTACEANS; BEHAVIOR; BEAM; DEEP</t>
  </si>
  <si>
    <t>Dense swarms of the krill Meganyctiphanes norvegica in the Norwegian Sea were patrolled by large, piscivorous fish, which apparently use the krill swarms as feeding grounds in their hunt for planktivores. For the krill, patrols of piscivores may add to the generally accepted anti-predator benefit of the swarming behavior. The fact that krill swarms govern small-scale patchiness of large piscivores emphasizes the key role of krill in oceanic ecosystems.</t>
  </si>
  <si>
    <t>Univ Oslo, Dept Biol, N-0316 Oslo, Norway; Univ Bergen, Dept Biol, Bergen, Norway; Inst Marine Res, N-5817 Bergen, Norway</t>
  </si>
  <si>
    <t>University of Oslo; University of Bergen; Institute of Marine Research - Norway</t>
  </si>
  <si>
    <t>Kaartvedt, S (corresponding author), Univ Oslo, Dept Biol, POB 1066, N-0316 Oslo, Norway.</t>
  </si>
  <si>
    <t>stein.kaartvedt@bio.uio.no</t>
  </si>
  <si>
    <t>Fiksen, Øyvind/F-1771-2011; Fiksen, Øyvind/M-4402-2019</t>
  </si>
  <si>
    <t>Fiksen, Øyvind/0000-0002-9687-5842; Kaartvedt, Stein/0000-0002-8793-2948; Rostad, Anders/0000-0002-2512-9033</t>
  </si>
  <si>
    <t>10.3354/meps299001</t>
  </si>
  <si>
    <t>972RA</t>
  </si>
  <si>
    <t>WOS:000232469700001</t>
  </si>
  <si>
    <t>Stark, KE; Jackson, GD; Lyle, JM</t>
  </si>
  <si>
    <t>Tracking arrow squid movements with an automated acoustic telemetry system</t>
  </si>
  <si>
    <t>Ommastrephid squid; acoustic telemetry; tagging; movement; behaviour; Cephalopod; Tasmania</t>
  </si>
  <si>
    <t>TODARODES-SAGITTATUS CEPHALOPODA; NOTOTODARUS-GOULDI CEPHALOPODA; SNAPPER PAGRUS-AURATUS; OCEANOGRAPHIC CONDITIONS; OMMASTREPHIDAE; MIGRATION; PATTERNS; ENERGETICS; SPARIDAE; ATLANTIC</t>
  </si>
  <si>
    <t>This study investigated the movement, spatial usage and activity patterns of the arrow squid Nototodarus gouldi (Cephalopoda: Ommastrephidae) using an automated acoustic telemetry system. Sixty-four automated acoustic receivers were aligned as underwater 'curtains' across the entrances to bays and inlets around Storm Bay, southeastern Tasmania. N. gouldi were tagged with small uniquely coded transmitters and released. Twelve tagged squid were detected for up to 37 d over an area of more than 300 km(2). Tagged squid moved widely between Storm Bay and the Derwent River, but none were detected moving into the adjoining bays or the D'Entrecasteaux Channel. Tagged squid appeared to move out of Storm Bay throughout the study period, suggesting a highly dynamic population. There was evidence of a relationship between level of activity and photoperiod, with visits to receivers being longer and more variable in duration in the night compared to the daytime. Schooling or group movement was not observed. Rates of movement between non-adjacent receivers varied widely with those over distances of 10 km or more, ranging from 0.09 to 0.52 mantle lengths per second (ML s(-1)), and 1 instance of an average speed of 3.6 ML s(-1) over 9.3 km.</t>
  </si>
  <si>
    <t>Univ Tasmania, Inst Antarctic &amp; So Ocean Studies, Hobart, Tas 7001, Australia; Univ Tasmania, Tasmanian Aquaculture &amp; Fisheries Inst, Marine Res Labs, Hobart, Tas 7001, Australia</t>
  </si>
  <si>
    <t>kate.stark@utas.edu.au</t>
  </si>
  <si>
    <t>Jackson, George D/AAI-7315-2021; Lyle, Jeremy/J-7170-2014</t>
  </si>
  <si>
    <t>Lyle, Jeremy/0000-0001-9670-5854</t>
  </si>
  <si>
    <t>10.3354/meps299167</t>
  </si>
  <si>
    <t>WOS:000232469700016</t>
  </si>
  <si>
    <t>Southwell, CJ; Kerry, KR; Ensor, PH</t>
  </si>
  <si>
    <t>Predicting the distribution of crabeater seals Lobodon carcinophaga off east Antarctica during the breeding season</t>
  </si>
  <si>
    <t>crabeater seal; distribution; breeding; generalised linear modelling; Antarctica</t>
  </si>
  <si>
    <t>KRILL EUPHAUSIA-SUPERBA; AUSTRAL SUMMER; PACK-ICE; SEABIRDS; ABUNDANCE; BEHAVIOR; FORESTS; WEDDELL; 80-150-DEGREES-E; SELECTION</t>
  </si>
  <si>
    <t>Predictive species-environment models have numerous ecological and management applications, and can provide insight into the functional relationships between a species and its environment. Generalised linear models were used to develop predictive models of crabeater seal Lobodon carcinophaga distribution during the breeding season in relation to physical-oceanographic and ice-cover variables. Models were constructed from data collected on shipboard surveys in the pack-ice off east Antarctica between 50 and 115 degrees E from 1985 to 1987, and were tested from surveys in the same region from 1995 to 1997. Models of presence selected ocean depth as the only significant physical-oceanographic predictor variable for both breeding and non-breeding seals. Seals were most likely to be present on the ice at moderate ocean depths of approximately 2500 m. Unlike non-breeding seals, breeding seals were all but absent on the ice associated with depths of &gt; 4000 m. The predicted distribution of presence comprised a band delineated by the shelf-break to the south and extending northwards for 1.5 to 5 degrees latitude, with non-breeding seals having a more northerly limit than breeding seals. This band is coincident with the known distribution of the crabeater seals' primary food source (Antarctic krill), and also coincides with frontal features such as the Antarctic slope front and the southern boundary of the Antarctic Circumpolar Current, which are considered to be areas of enhanced primary and secondary productivity. The presence-depth models were improved by the inclusion of ice-cover variables. Breeding seals may avoid areas with a high proportion of all ice as floes &lt; 20 m in size, because the chance of successfully weaning a pup in such areas is low.</t>
  </si>
  <si>
    <t>Australian Antarctic Div, Dept Environm &amp; Heritage, 203 Channel Highway, Kingston, Tas 7050, Australia.</t>
  </si>
  <si>
    <t>colin.southwell@aad.gov.au</t>
  </si>
  <si>
    <t>10.3354/meps299297</t>
  </si>
  <si>
    <t>WOS:000232469700027</t>
  </si>
  <si>
    <t>Shreeve, RS; Tarling, GA; Atkinson, A; Ward, P; Goss, C; Watkins, J</t>
  </si>
  <si>
    <t>Relative production of Calanoides acutus (Copepoda:Calanoida) and Euphausia superba (Antarctic krill) at South Georgia, and its implications at wider scales</t>
  </si>
  <si>
    <t>copepods; Calanoides acutus; Antarctic kill; secondary production; South Georgia; Southern Ocean</t>
  </si>
  <si>
    <t>MARGINAL ICE-ZONE; LIFE-CYCLE; GROWTH; BIOMASS; TEMPERATURE; VARIABILITY; ABUNDANCE; BEHAVIOR; SUMMER; SECTOR</t>
  </si>
  <si>
    <t>Antarctic krill are often described as the major species in Southern Ocean food webs, but there have been no direct site-specific comparisons between their production and that of copepods that dominate mesozooplankton biomass. Here, we compare biomass, growth and production of Euphausia superba (Antarctic krill) and the copepod Calanoides acutus at South Georgia, in the Atlantic sector of the Southern Ocean. Average acoustically derived krill biomass across the 5 study years was 2.6 g C m(-2), 4 to 5 times that of Stages CIV and CV of C. acutus. Mean length of krill was 41 +/- 4 mm, and the average growth rate was 0.10 mm d(-1), giving an average mass-specific growth rate of 0.0084 d(-1). This equated to a daily gross production of krill of 0.022 g C m(-2) d(-1). Gross production of Stages CIV and CV of C. acutus was similar, around 0.026 g C m(-2) d-1. These stages of C. acutus represent about 25% of the total copepod biomass around South Georgia, so total copepod production here may exceed that of krill by a factor of 4 during the productive summer months. Biomass of copepods and krill in other parts of the Southern Ocean differ by similar orders of magnitude, whilst growth rates are likely to remain within the range measured in this study. Therefore, our finding has relevance outside the local South Georgia system. All of the krill production is likely to be rapidly consumed by higher predators within the surface layers, whilst it is estimated that around 17% of copepod production may be sequestered at depth during winter diapause.</t>
  </si>
  <si>
    <t>British Antarctic Survey, Natl Environm Res Council, Cambridge CB3 0ET, England</t>
  </si>
  <si>
    <t>British Antarctic Survey, Natl Environm Res Council, High Cross,Madingley Rd, Cambridge CB3 0ET, England.</t>
  </si>
  <si>
    <t>rssh@bas.ac.uk</t>
  </si>
  <si>
    <t>10.3354/meps298229</t>
  </si>
  <si>
    <t>964UD</t>
  </si>
  <si>
    <t>WOS:000231905600020</t>
  </si>
  <si>
    <t>Holm-Hansen, O; Kahru, M; Hewes, CD</t>
  </si>
  <si>
    <t>Deep chlorophyll a maxima (DCMs) in pelagic Antarctic waters. II. Relation to bathymetric features and dissolved iron concentrations</t>
  </si>
  <si>
    <t>chlorophyll a; deep chlorophyll a maxima; Southern Ocean; iron; bathymetry</t>
  </si>
  <si>
    <t>SOUTHERN-OCEAN; SCOTIA SEA; ROSS SEA; PHYTOPLANKTON BLOOMS; PRIMARY PRODUCTIVITY; WEDDELL SEA; NATURAL FLUORESCENCE; CIRCUMPOLAR CURRENT; BRANSFIELD STRAIT; INDIAN SECTOR</t>
  </si>
  <si>
    <t>A deep chlorophyll a maximum (DCM) at depths between 60 and 90 m in waters south of the Antarctic Polar Front (APF) occurs only in pelagic waters where the chlorophyll a concentrations in the upper mixed layer (UML) are very low (generally &lt; 0.2 mg m(-3)). Dissolved Fe concentrations in these waters with DCMs are also very low (generally &lt; 0.2 nM) and are probably a limiting factor for phytoplankton growth and biomass. DCMs occur in the upper portion of the temperature minimum layer (TML), which is the winter residue of the Antarctic Surface Water (AASW). The higher phytoplankton biomass at these depths is thought to result from higher Fe concentrations in the winter remnant of the AASW as compared to that found in the overlying UML. A survey of the literature indicates that DCMs are located predominately over the deep ocean basins where enrichment of surface waters with Fe from either coastal sediments or from upwelling processes would be minimal. DCMs are not found in coastal waters or in pelagic regions where complex bottom topography causes upwelling of deep water with sufficiently high Fe concentrations to enhance surface chlorophyll a concentrations. Such enrichment of surface waters overlying or downstream of topographical seamounts or ridges that rise to within a few thousand meters of the surface usually results in elevated phytoplankton biomass in the UML and no DCM due to decreased solar irradiance in the TML. The effect of such enrichment of Fe in surface pelagic waters that results from upwelling processes is most pronounced in the Scotia Sea, in the Polar Frontal region downstream of South Georgia, over the Southwest Indian Ridge, over the Kerguelen Plateau, and over the Pacific Antarctic and Southeast Indian Ridges.</t>
  </si>
  <si>
    <t>Holm-Hansen, O (corresponding author), Univ Calif San Diego, Scripps Inst Oceanog, La Jolla, CA 92093 USA.</t>
  </si>
  <si>
    <t>oholmhansen@ucsd.edu</t>
  </si>
  <si>
    <t>10.3354/meps297071</t>
  </si>
  <si>
    <t>962GK</t>
  </si>
  <si>
    <t>WOS:000231718800007</t>
  </si>
  <si>
    <t>Seasonality of recruitment in Antarctic sessile marine benthos</t>
  </si>
  <si>
    <t>recruitment; seasonality; polar; settlement; mortality; sessile; disturbance; Marine benthos</t>
  </si>
  <si>
    <t>POSTSETTLEMENT MORTALITY; EPIFAUNAL ASSEMBLAGES; LARVAL SETTLEMENT; COMMUNITY-DEVELOPMENT; LATITUDINAL GRADIENT; ADELAIDE ISLAND; SIGNY ISLAND; ECOLOGY; INVERTEBRATES; DYNAMICS</t>
  </si>
  <si>
    <t>Recruitment is a principal factor determining the establishment, diversity and persistence of assemblages in marine benthic ecosystems. Despite considerable research in temperate and tropical latitudes, however, almost nothing is known of recruitment processes in polar regions. This study presents the first assessment of short-term recruitment of sessile epibenthos at a location within the Antarctic Circle (66.5 degrees S). Recruitment was measured using acrylic panels immersed at 2 depths (8 and 20 m) at each of 3 locations in Ryder Bay, SW Antarctic Peninsula (67 degrees 35' S, 68 degrees 10' W). Recruitment to upward- and downward-facing panel surfaces was monitored at monthly intervals from March to August 2001, and from April 2002 to February 2003. A total of 41 taxa from 9 phyla were recorded. Bryozoans and spirorbid polychaetes were the most abundant groups, and cheilostome bryozoans were the most speciose. Recruitment occurred throughout the year and average assemblage composition followed a cyclical pattern, suggesting annual reproduction in a majority of the taxa recorded. Within this pattern, most species exhibited pronounced seasonality. In contrast to the general pattern of summer recruitment in temperate assemblages, however, a peak in the number of taxa recruiting occurred in late winter and for cheilostome bryozoans the timing of recruitment showed a correlation with competitive ability: weaker competitors recruiting earlier in the year than stronger competitors. It is suggested that the apparent trend for winter recruitment may be an adaptive response to an environment in which disturbance peaks during summer. Total recruitment to upward-facing surfaces during the study was comparable with that to downward-facing surfaces but seasonal reductions in the relative number of recruits on upper surfaces suggest that post-settlement mortality may be important.</t>
  </si>
  <si>
    <t>10.3354/meps297101</t>
  </si>
  <si>
    <t>WOS:000231718800009</t>
  </si>
  <si>
    <t>Alonzo, F; Virtue, P; Nicol, S; Nichols, PD</t>
  </si>
  <si>
    <t>Lipids as trophic markers in Antarctic krill.: II.: Lipid composition of the body and digestive gland of Euphausia superba in controlled conditions</t>
  </si>
  <si>
    <t>Euphausia superba; antarctic krill; lipid class; fatty acid; trophic marker; digestive gland</t>
  </si>
  <si>
    <t>FATTY-ACID COMPOSITION; MARGINAL ICE-ZONE; SOUTH GEORGIA; FEEDING-BEHAVIOR; CALANUS-PACIFICUS; FOOD-CHAIN; DIET; PHYTOPLANKTON; COPEPODS; WINTER</t>
  </si>
  <si>
    <t>To examine the potential of lipids as dietary markers in Euphausia superba Dana, juvenile krill were fed 4 phytoplankton diets (diatoms, cryptomonads, dinoflagellates and thraustochytrids over a range of food concentrations) and 2 species of zooplankton (rotifers and Artemia sp.) for 20 d. Lipid content, lipid class and fatty acid (FA) composition were analysed for whole krill and digestive glands (DG). Changes detected in whole krill were almost entirely associated with the lipid variability observed in DG. With marked diet-induced changes, DG lipids were the major repository for the trophic signal in krill. DG lipid content increased in krill fed on phytoplankton due to the accumulation of polar lipid (0.5 mg per DG) and triacylglycerol (up to 1.7 mg per DG). Herbivorous diets induced distinct FA signatures in the DG, characterised by higher proportions of: 16:1 omega 7 and 20:5 omega 3 in diatom-fed krill; 18:1 omega 9 and 18:4 omega 3 in cryptomonad-fed krill; 18:1 omega 9, 18A omega 3 + 18:5 omega 3 and 22:6 omega 3 in dinoflagellate-fed krill; and 14:0 and 22:6 omega 3 in thraustochytrid-fed krill. Dietary FA markers increased in relative proportion (% total FA) in the DG with increasing concentration of each particular food. Krill fed rotifers or Artemia sp. showed relatively low DG lipid content, with only slightly higher proportions of 18:2 omega 6 than observed with phytoplankton diets. Zooplankton diets induced no significant difference in FA composition in relation to the species of zooplankton used as prey or to the algal type consumed by these prey.</t>
  </si>
  <si>
    <t>Univ Tasmania, Inst Antarctic &amp; So Ocean Studies, Hobart, Tas 7001, Australia; Australian Antarctic Div, Kingston, Tas 7050, Australia; CSIRO, Marine Res, Hobart, Tas 7001, Australia; Univ Tasmania, Antarctic Cooperat Res Ctr, Hobart, Tas 7001, Australia</t>
  </si>
  <si>
    <t>University of Tasmania; Australian Antarctic Division; Commonwealth Scientific &amp; Industrial Research Organisation (CSIRO); University of Tasmania</t>
  </si>
  <si>
    <t>Alonzo, F (corresponding author), Ctr Cadarache, Inst Radioprotect &amp; Surete Nucl, BP 3, F-13115 St Paul Les Durance, France.</t>
  </si>
  <si>
    <t>fred.alonzo@wanadoo.fr</t>
  </si>
  <si>
    <t>Nichols, Peter D/C-5128-2011</t>
  </si>
  <si>
    <t>Alonzo, Frederic/0000-0002-7526-8058; Virtue, Patti/0000-0002-9870-1256</t>
  </si>
  <si>
    <t>10.3354/meps296065</t>
  </si>
  <si>
    <t>957JI</t>
  </si>
  <si>
    <t>WOS:000231365700006</t>
  </si>
  <si>
    <t>Lipids as trophic markers in Antarctic krill.: III.: Temporal changes in digestive gland lipid composition of Euphausia superba in controlled conditions</t>
  </si>
  <si>
    <t>Euphausia superba; antarctic krill; lipid class; fatty acid; digestive gland; trophic signature; temporal scale</t>
  </si>
  <si>
    <t>MARGINAL ICE-ZONE; FATTY-ACID COMPOSITION; SOUTH GEORGIA; FEEDING-BEHAVIOR; DANA; PHYTOPLANKTON; COPEPODS; WINTER; DIET; SEA</t>
  </si>
  <si>
    <t>Two phytoplankton diets with markedly different fatty acid (FA) profiles (thraustochytrid and diatom over a range of concentrations) were fed to juvenile Euphausia superba Dana to evaluate the time lapse required for the development of trophic lipid signatures in the digestive gland (DG). Krill were collected after 5, 10 and 20 d of feeding on thraustochytrids. Krill fed on thraustochytrids for 20 d were also collected after a further 5, 10 and 20 d of feeding on diatoms. An accumulation of polar lipid (0.4 mg per DG) was observed after 5 d of feeding on thraustochytrids at every concentration of food, The deposition of triacylglycerol (0.25 mg per DG) required 10 d of feeding and only occurred at the 2 highest food concentrations. Amounts of thraustochytrid-derived FA, 14:0, 16:0 22:6 omega 3 and 22:5 omega 6, increased after 10 d of feeding. The final concentration of 22:6 omega 3 was dependent on food concentration. Though it was absent in the diet, the essential FA 20:5 omega 3 accumulated from the retroconversion of 22:6 omega 3 after 20 d. Changing the krill diet to diatoms resulted in a marked decline in thraustochytrid FA, particularly 14:0 and 22:6 omega 3, after 5 d, whilst diatom FA, 16:1 omega 7 and 20:5 omega 3, remained constant. Thraustochytrid signatures were completely erased from the FA profiles of DG after 20 d feeding on diatoms. Slow accumulation of storage lipid and short residence time of dietary FA suggest that lipid turnover rates are high in Antarctic krill DG.</t>
  </si>
  <si>
    <t>Univ Tasmania, Inst Antarctic &amp; So Ocean Studies, Hobart, Tas 7001, Australia; Univ Tasmania, Antarctic Cooperat Res Ctr, Hobart, Tas 7001, Australia; CSIRO, Marine Res, Hobart, Tas 7001, Australia; Australian Antarctic Div, Kingston, Tas 7050, Australia</t>
  </si>
  <si>
    <t>University of Tasmania; University of Tasmania; Commonwealth Scientific &amp; Industrial Research Organisation (CSIRO); Australian Antarctic Division</t>
  </si>
  <si>
    <t>10.3354/meps296081</t>
  </si>
  <si>
    <t>WOS:000231365700007</t>
  </si>
  <si>
    <t>Forero, MG; González-Solís, J; Hobson, KA; Donázar, JA; Bertellotti, M; Blanco, G; Bortolotti, GR</t>
  </si>
  <si>
    <t>Stable isotopes reveal trophic segregation by sex and age in the southern giant petrel in two different food webs</t>
  </si>
  <si>
    <t>carbon; nitrogen; diet; interspecific variability; sexual segregation; Macronectes giganteus</t>
  </si>
  <si>
    <t>MACRONECTES-GIGANTEUS; FORAGING STRATEGIES; SEABIRD COMMUNITY; PATAGONIAN SHELF; DIET; GEORGIA; CARBON; NITROGEN; ANIMALS; ECOLOGY</t>
  </si>
  <si>
    <t>We investigated trophic ecology variation among colonies as well as sex- and age-related differences in the diet of the southern giant petrel Macronectes giganteus, a long-lived seabird that is sexually dimorphic in size. We measured stable isotopes (delta C-13, delta N-15) in blood samples collected during breeding at Bird Island (South Georgia, Antarctica) in 1998 and at 2 colonies in the Argentinean area of Patagonia in 2000 and 2001. Individuals from South Georgia showed lower delta C-13 and 8(15)N values than those in Patagonia, as expected from the more pelagic location and the short length of the Antarctic food web. Males and females showed significant differences in the isotopic signatures at both localities. These differences agree with the sexual differences in diet found in previous studies, which showed that both sexes rely mainly on penguin and seal carrion, but females also feed extensively on marine prey, such as fish, squid and crustaceans. However, males from Patagonia showed significantly higher delta N-15 and delta C-13 values than females did, and the reverse trend was observed at South Georgia. This opposite trend is probably related to the different trophic level of carrion between locations: whereas penguins and pinnipeds in Patagonia rely mainly on fish and cephalopods, in South Georgia they rely mainly on krill. Stable isotope values of male and female chicks in Patagonia did not differ; both attained high values, similar to adult males and higher than adult females, suggesting that parents do not provision their single offspring differently in relation to sex; however, they seem to provide offspring with a higher proportion of carrion, probably of higher quality, and more abundant food, than they consume themselves. Stable isotopes at South Georgia were not affected by age of adults. We have provided new information on intraspecific segregation in the diet in a seabird species and have also underlined the importance of considering food web structure when studying intraspecific variability in trophic ecology.</t>
  </si>
  <si>
    <t>Estac Biol Donana, Dept Appl Biol, E-41013 Seville, Spain; Univ Barcelona, Dept Biol Anim Vertebrats, E-08028 Barcelona, Spain; British Antarctic Survey, NERC, Cambridge CB3 0ET, England; Canadian Wildlife Serv, Saskatoon, SK S7N 0X4, Canada; Univ Saskatchewan, Dept Biol, Saskatoon, SK S7N 5E2, Canada; Consejo Nacl Invest Cient &amp; Tecn, Ctr Nacl Patagon, Chubut, Argentina; UCLM, CSIC, Inst Invest Recursos Cineget, Ciudad Real 13005, Spain</t>
  </si>
  <si>
    <t>Consejo Superior de Investigaciones Cientificas (CSIC); CSIC - Estacion Biologica de Donana (EBD); University of Barcelona; UK Research &amp; Innovation (UKRI); Natural Environment Research Council (NERC); NERC British Antarctic Survey; Environment &amp; Climate Change Canada; Canadian Wildlife Service; University of Saskatchewan; Consejo Nacional de Investigaciones Cientificas y Tecnicas (CONICET); Centro Nacional Patagonico (CENPAT); Consejo Superior de Investigaciones Cientificas (CSIC); CSIC - Instituto de Investigacion en Recursos Cinegeticos (IREC); Universidad de Castilla-La Mancha</t>
  </si>
  <si>
    <t>Forero, MG (corresponding author), Estac Biol Donana, Dept Appl Biol, Ave Maria Luisa S-N,Pabellon Peru, E-41013 Seville, Spain.</t>
  </si>
  <si>
    <t>gforero@ebd.csic.es</t>
  </si>
  <si>
    <t>Gonzalez-Solis, Jacob/C-3942-2008; Bond, Alexander L/A-3786-2010; Blanco, Guillermo/L-3170-2014; González-Solís, Jacob/AAB-1161-2019; Bertellotti, Marcelo/GQZ-7950-2022; Bertellotti, Marcelo/I-6200-2019; Hobson, Keith/Q-9306-2019</t>
  </si>
  <si>
    <t>Gonzalez-Solis, Jacob/0000-0002-8691-9397; Blanco, Guillermo/0000-0001-5742-4929; Bertellotti, Marcelo/0000-0002-1834-7788; Gonzalez Forero, Manuela/0000-0001-9157-9705; Donazar, Jose Antonio/0000-0002-9433-9755; Bertellotti, Marcelo/0000-0001-5641-8789</t>
  </si>
  <si>
    <t>10.3354/meps296107</t>
  </si>
  <si>
    <t>WOS:000231365700009</t>
  </si>
  <si>
    <t>Green, JA; Boyd, IL; Woakes, AJ; Warren, NL; Butler, PJ</t>
  </si>
  <si>
    <t>Behavioural flexibility during year-round foraging in macaroni penguins</t>
  </si>
  <si>
    <t>behavioural plasticity; penguin; southern ocean; diving behaviour; Eudyptes chrysolophus</t>
  </si>
  <si>
    <t>ANTARCTIC FUR SEALS; DIEL VERTICAL MIGRATION; DIVING BEHAVIOR; KING PENGUINS; EUDYPTES-CHRYSOLOPHUS; SPHENISCUS-MAGELLANICUS; CHRYSOCOME-CHRYSOCOME; ROCKHOPPER PENGUINS; PYGOSCELIS-ADELIAE; SEASONAL-CHANGES</t>
  </si>
  <si>
    <t>Penguins are major consumers in the marine environment. However, like many top predators, very little information exists on their foraging behaviour outside the breeding season. We investigated the foraging behaviour of the macaroni penguin Eudyptes chrysolophus continuously for 2 consecutive years, from the end of December 2001. This allowed us to investigate whether foraging behaviour varied between sexes, years or phases of the annual cycle. Male penguins tended to dive deeper and longer than female penguins, but at a lower frequency, probably as a result of their larger body size. There was little variation in foraging behaviour between the 2 years studied, although neither year included a notable period of low Antarctic krill abundance. Diving behaviour varied substantially within years and general linear models were used to investigate this variability. In summary, all penguins tended to dive deeper, longer and more efficiently during their winter migration than during the summer breeding season. The penguins dived predominantly during daylight hours at all times of the year, but appeared to be more constrained by daylight during the short winter days. Several diving variables including dive duration, dive rate and amount of time spent diving were significantly related to day length and these associations were stronger during winter than summer. The macaroni penguin shows flexibility in its foraging behaviour as it adapts to differing constraints and challenges during its annual cycle.</t>
  </si>
  <si>
    <t>Univ Birmingham, Sch Biosci, Birmingham B15 2TT, W Midlands, England; Univ St Andrews, Sea Mammal Res Unit, Gatty Marine Lab, St Andrews KY16 8LB, Fife, Scotland; British Antarctic Survey, Cambridge CB3 0T, England</t>
  </si>
  <si>
    <t>University of Birmingham; University of St Andrews; UK Research &amp; Innovation (UKRI); Natural Environment Research Council (NERC); NERC British Antarctic Survey</t>
  </si>
  <si>
    <t>Univ Birmingham, Sch Biosci, Birmingham B15 2TT, W Midlands, England.</t>
  </si>
  <si>
    <t>j.a.green@bham.ac.uk</t>
  </si>
  <si>
    <t>Woakes, Anthony/JYD-0387-2024; Green, Jonathan A/B-8799-2011</t>
  </si>
  <si>
    <t>Green, Jonathan A/0000-0001-8692-0163</t>
  </si>
  <si>
    <t>10.3354/meps296183</t>
  </si>
  <si>
    <t>WOS:000231365700016</t>
  </si>
  <si>
    <t>Hirst, AG; Peterson, WT; Rothery, P</t>
  </si>
  <si>
    <t>Errors in juvenile copepod growth rate estimates are widespread: problems with the Moult Rate method</t>
  </si>
  <si>
    <t>copepod; moult rate; growth; error; stage duration; mortality</t>
  </si>
  <si>
    <t>BENGUELA UPWELLING SYSTEM; MARINE PLANKTONIC COPEPODS; SEA-OF-JAPAN; POPULATION-DYNAMICS; EGG-PRODUCTION; INLAND-SEA; SECONDARY PRODUCTION; CALANOID COPEPOD; EUTROPHIC INLET; NORTHERN CHILE</t>
  </si>
  <si>
    <t>The 'Moult Rate' (MR) method has been used widely to derive stage-specific growth rates in juvenile copepods. It is the most common field-based method. Unfortunately, the equation underlying the method is wrong and, consequently, large errors in juvenile growth rate estimates are widespread. The equation derives growth from the mean weight of 2 consecutive stages (i and i + 1) and the duration of stage i. The weight change and the period to which this change is attributed are, therefore, offset. We explore this potential source of error in the MR method critically. Errors arise as a result of 2 primary factors: (1) unequal durations of successive stages and (2) unequal rates of growth of successive stages. The method of deriving the mean weight (arithmetic or geometric) also has an impact and is examined. Using a steady-state assumption, a range of scenarios and the errors that arise are examined. The literature is then reviewed and the size of errors resulting from MR method application in both field and laboratory situations is estimated. Our results suggest that the MR method can lead to large errors in growth estimation in any stage, but some stages are particularly prone. Errors for the C5 stage are often large because the following stage (the adult) does not moult, and has a different rate of body weight increase. For the same reason, errors are also great where the following stage is not actively moulting (e.g. when diapausing). In these circumstances, published work has commonly greatly underestimated growth. For example, MR growth ranges from 11 to 47 % of the value derived correctly for this stage, g(i)_(corr) (calculated assuming the non-moulting stage does not grow). In late stages that are followed by actively moulting stages, the MR method has commonly given values in excess of 150% of g(i_corr) but underestimation also occurs, with values &lt; 90 % of g(i_corr) We propose new methods and equations that overcome these problems. These equations are written with and without within-stage mortality included. The equations are relatively insensitive to mortality rates within the range found in the field, but only provided that the stage duration is not determined from moult rate. Stage duration estimates obtained from measuring moulting rates of field-collected animals are very sensitive to mortality rates of the animals prior to capture, and field mortality rates are often high enough to produce dramatic over-estimation of stage duration.</t>
  </si>
  <si>
    <t>British Antarctic Survey, Nat Environm Res Council, Cambridge CB3 03T, England; Hatfield Marine Sci Ctr, Natl Marine Fisheries Serv, Newport, OR 97365 USA; NERC, Ctr Ecol &amp; Hydrol, Huntingdon PE28 2LS, Cambs, England</t>
  </si>
  <si>
    <t>UK Research &amp; Innovation (UKRI); Natural Environment Research Council (NERC); NERC British Antarctic Survey; National Aeronautics &amp; Space Administration (NASA); National Oceanic Atmospheric Admin (NOAA) - USA; UK Research &amp; Innovation (UKRI); Natural Environment Research Council (NERC); UK Centre for Ecology &amp; Hydrology (UKCEH)</t>
  </si>
  <si>
    <t>Hirst, AG (corresponding author), British Antarctic Survey, Nat Environm Res Council, Madingley Rd, Cambridge CB3 03T, England.</t>
  </si>
  <si>
    <t>aghi@bas.ac.uk</t>
  </si>
  <si>
    <t>Hirst, Andrew G/A-6296-2013</t>
  </si>
  <si>
    <t>Hirst, Andrew/0000-0001-9132-1886</t>
  </si>
  <si>
    <t>10.3354/meps296263</t>
  </si>
  <si>
    <t>WOS:000231365700023</t>
  </si>
  <si>
    <t>Brown, BE; Bythell, JC</t>
  </si>
  <si>
    <t>Perspectives on mucus secretion in reef corals</t>
  </si>
  <si>
    <t>mucin; mucopolysaccharide; coral surface microlayer; CSM; surface mucopolysaccharide layer; SML</t>
  </si>
  <si>
    <t>AUSTRALIAN SCLERACTINIAN CORALS; PARERYTHROPODIUM-FULVUM-FULVUM; PORITES-PORITES SCLERACTINIA; MUCOUS SHEET FORMATION; ANTARCTIC SOFT CORALS; X-RAY-MICROANALYSIS; GALAXEA-FASCICULARIS; ANTIMICROBIAL ACTIVITY; SEDIMENT-REJECTION; OCULINA-PATAGONICA</t>
  </si>
  <si>
    <t>The coral surface mucus layer provides a vital interface between the coral epithelium and the seawater environment and mucus acts in defence against a wide range of environmental stresses, in ciliary-mucus feeding and in sediment cleansing, amongst other roles. However, we know surprisingly little about the in situ physical and chemical properties of the layer, or its dynamics of formation. We review the nature of coral mucus and its derivation and outline the wide array of roles that are proposed for mucus secretion in corals. Finally, we review models of the surface mucus layer formation. We argue that at any one time, different types of mucus secretions may be produced at different sites within the coral colony and that mucus layers secreted by the coral may not be single homogeneous layers but consist of separate layers with different properties. This requires a much more dynamic view of mucus than has been considered before and has important implications, not least for bacterial colonisation. Understanding the formation and dynamics of the surface mucus layer under different environmental conditions is critical to understanding a wide range of associated ecological processes.</t>
  </si>
  <si>
    <t>Newcastle Univ, Sch Biol, Newcastle Upon Tyne NE1 7RU, Tyne &amp; Wear, England</t>
  </si>
  <si>
    <t>Newcastle University - UK</t>
  </si>
  <si>
    <t>Newcastle Univ, Sch Biol, Newcastle Upon Tyne NE1 7RU, Tyne &amp; Wear, England.</t>
  </si>
  <si>
    <t>profbarbarabrown@aol.com</t>
  </si>
  <si>
    <t>Bythell, John/ABE-6138-2021; Bythell, John C/E-7962-2010; Brown, Barbara/AAT-7991-2021; Brown, Barbara E/N-2104-2015</t>
  </si>
  <si>
    <t>Bythell, John/0000-0003-2416-9786; Bythell, John C/0000-0003-2416-9786;</t>
  </si>
  <si>
    <t>10.3354/meps296291</t>
  </si>
  <si>
    <t>WOS:000231365700025</t>
  </si>
  <si>
    <t>Quillfeldt, P; McGill, RAR; Furness, RW</t>
  </si>
  <si>
    <t>Diet and foraging areas of Southern Ocean seabirds and their prey inferred from stable isotopes: review and case study of Wilson's storm-petrel</t>
  </si>
  <si>
    <t>stable isotopes; diet; foraging area; Oceanites oceanicus; prey</t>
  </si>
  <si>
    <t>KING-GEORGE-ISLAND; PARTICULATE ORGANIC-MATTER; MARINE FOOD-WEB; TROPHIC RELATIONSHIPS; FEEDING ECOLOGY; BREEDING SUCCESS; ILES-KERGUELEN; DELTA-C-13; DELTA-N-15; NITROGEN</t>
  </si>
  <si>
    <t>Analysis of stable isotope ratios in animal tissues has emerged as a powerful tool for determining the trophic level and composition of prey and foraging location. We summarize here data on the stepwise trophic enrichment in delta(15) N and latitudinal gradient in delta C-13 in the Southern Ocean, and derive a regression equation to estimate latitudes from delta C-13 values. We analysed isotope ratios of feathers of the small, pelagic seabird Wilson's storm-petrel Oceanites oceanicus, in different breeding stages, in comparison to isotope ratios of 4 other seabird species breeding in close vicinity on King George Island, South Shetland Islands. 615 N analysis of feathers and albumen from Wilson's storm-petrels indicated a shift in diet from mainly crustaceans during egg formation to an increased proportion of fish during chick-feeding and moulting. 615 N values of Wilson's storm-petrels during the chick-rearing season were closer to the mainly piscivorous-carnivorous skuas than to krill-feeding penguins, confirming that fish is an important part of their diet. VC analysis of feathers identified 4 distinct foraging areas: VC values in egg-white suggest that egg-forming females moved south to the sea ice edge. This coincides with the distribution of their main prey, Antarctic krill Euphausia superba, during this period. During the breeding season, Wilson's storm-petrels fed in the area around the colony, which is also used by penguins and skuas. VC of the feathers indicate that adults migrated to the Subtropical Front and beyond (north of 44 degrees S) during the inter-breeding period. Feathers were also analysed from 10 Wilson's storm-petrels caught by mistnet and thought to be prebreeders because they lacked foot markings; 8 of these had moulted in the same area as breeding birds, while 2 birds had moulted in an area further north (north of 30 degrees S). Adelie penguins Pygoscelis adeliae and Gentoo penguins F papua had significantly different VC, suggesting that the Adelie penguins foraged further south than the Gentoo penguins. The foraging areas of brown skuas Stercorarius antarctica and south polar skuas S. maccormicki could not be separated by their isotope ratios.</t>
  </si>
  <si>
    <t>Univ Glasgow, Inst Biomed &amp; Life Sci, Glasgow G12 8QQ, Lanark, Scotland; Scottish Univ Res &amp; Reactor Ctr, Glasgow G75 0QF, Lanark, Scotland</t>
  </si>
  <si>
    <t>Max Planck Inst Ornithol, Schlossallee 2, D-78315 Radolfzell am Bodensee, Germany.</t>
  </si>
  <si>
    <t>petra.quillfeldt@gmx.de</t>
  </si>
  <si>
    <t>Quillfeldt, Petra/A-9549-2009; McGill, Rona/F-1793-2010; McGill, Rona/JAC-6969-2023</t>
  </si>
  <si>
    <t>Quillfeldt, Petra/0000-0002-4450-8688; McGill, Rona/0000-0003-0400-7288;</t>
  </si>
  <si>
    <t>10.3354/meps295295</t>
  </si>
  <si>
    <t>947UC</t>
  </si>
  <si>
    <t>WOS:000230671800026</t>
  </si>
  <si>
    <t>Amsler, CD; Iken, K; McClintock, JB; Amsler, MO; Peters, KJ; Hubbard, JM; Furrow, FB; Baker, BJ</t>
  </si>
  <si>
    <t>Comprehensive evaluation of the palatability and chemical defenses of subtidal macroalgae from the Antarctic Peninsula</t>
  </si>
  <si>
    <t>chemical defenses; Antarctica; herbivory; macroalgae; resource allocation model; carbon-nutrient balance hypothesis</t>
  </si>
  <si>
    <t>PLANT-HERBIVORE INTERACTIONS; BENTHIC MARINE MACROALGAE; FISH NOTOTHENIA-CORIICEPS; KING GEORGE ISLAND; DEPTH DISTRIBUTION; SIGNY-ISLAND; POTTER COVE; TEMPERATE; ECOLOGY; NITROGEN</t>
  </si>
  <si>
    <t>The palatability of 35 non-encrusting, subtidal macroalgal species collected from the vicinity of Palmer Station, Antarctica (64 degrees 46'S, 64 degrees 03'W), was determined in laboratory bioassays utilizing sympatric sea stars and fish known to consume macroalgae in nature, Overall, 63% of the macroalgal species offered to sea stars and 83% of the macroalgal species offered to fish in thallus bioassays were significantly unpalatable, This included all of the ecologically dominant, overstory brown macroalgae in the region. When organic extracts of unpalatable macroalgal species were incorporated into artificial foods, 76% of the species unpalatable as thallus to sea stars were also unpalatable to them as extract, and 53% of the species unpalatable as thallus to fish were also unpalatable to them as extract. If either sea stars or fish rejected thallus of a macroalgal species, palatability of organic extracts of that species to herbivorous amphipods was determined: 63% of such algal species were unpalatable as extract to the amphipods. It was concluded that antarctic macroalgae are commonly unpalatable to sympatric consumers and that much of this unpalatability is the result of chemical defenses. As a whole, neither thallus toughness nor a variety of nutritional quality parameters appeared to be related to macroalgal palatability, We also tested the hypothesis that nitrogen-containing metabolites should be common in macroalgae from nitrogen-replete, carbon-limited environments such as the coastal waters of Antarctica, Macroalgal acid extracts targeting nitrogenous secondary metabolites were subjected to thin-layer chromatography analysis; no such compounds were detected.</t>
  </si>
  <si>
    <t>Univ Alabama Birmingham, Dept Biol, Birmingham, AL 35294 USA; Anchorage Sch Dist, Anchorage, AK 99516 USA; Florida Inst Technol, Dept Chem, Melbourne, FL 32901 USA; Univ S Florida, Dept Chem, Tampa, FL 33620 USA</t>
  </si>
  <si>
    <t>University of Alabama System; University of Alabama Birmingham; Florida Institute of Technology; State University System of Florida; University of South Florida</t>
  </si>
  <si>
    <t>Univ Alaska, Inst Marine Sci, Sch Fisheries &amp; Ocean Sci, Fairbanks, AK 99775 USA.</t>
  </si>
  <si>
    <t>10.3354/meps294141</t>
  </si>
  <si>
    <t>943XA</t>
  </si>
  <si>
    <t>WOS:000230387600012</t>
  </si>
  <si>
    <t>Staniland, IJ; Pond, DW</t>
  </si>
  <si>
    <t>Investigating the use of milk fatty acids to detect dietary changes: a comparison with faecal analysis in Antarctic fur seals</t>
  </si>
  <si>
    <t>Antarctic fur seal; Arctocephalus gazella; fatty acid; milk; diet; seasonal variation; individual variation; South Georgia</t>
  </si>
  <si>
    <t>ICEFISH CHAMPSOCEPHALUS-GUNNARI; BLACK-BROWED ALBATROSSES; SOUTHERN ELEPHANT SEALS; MACKEREL ICEFISH; ARCTOCEPHALUS-GAZELLA; GEORGIA; AVAILABILITY; PREDATORS; SIGNATURE; INDICATOR</t>
  </si>
  <si>
    <t>We compared the use of fatty acid signature analysis with results from traditional faecal methods using milk samples and enemas concurrently collected from 8 female Antarctic fur seals Arctocephalus gazella foraging from Bird Island, South Georgia. The seals were serially sampled throughout the 1998/1999 breeding season, with collections taken after every foraging trip when possible. The total lipid content of the milk increased throughout the season. A general linear model using 4 principal components showed that it was the point within the breeding season at which a milk sample was collected that had the biggest influence on its fatty acid composition, There were also significant differences in the milk composition of individual seals. However, the results of faecal analysis, which are themselves subject to potential biases, were not correlated with the relative amounts of individual fatty acids. It has been suggested that seasonal changes in the milk fatty acids, previously observed in the same population of seals, are a result of increased consumption of fish. We found no evidence of this in the faecal material and suggest that the seasonal variability may be a result of changes in the fatty acid composition of the seals' main prey (krill), or because of the changing needs of the developing pups. This study highlights the need for comprehensive testing of milk fatty acid signature analysis before the full potential of this technique can be realised.</t>
  </si>
  <si>
    <t>ijst@bas.ac.uk</t>
  </si>
  <si>
    <t>Staniland, Iain/I-4725-2012</t>
  </si>
  <si>
    <t>Staniland, Iain/0000-0003-2736-9134</t>
  </si>
  <si>
    <t>10.3354/meps294283</t>
  </si>
  <si>
    <t>WOS:000230387600024</t>
  </si>
  <si>
    <t>Bailleul, F; Luque, S; Dubroca, L; Arnould, JPY; Guinet, C</t>
  </si>
  <si>
    <t>Differences in foraging strategy and maternal behaviour between two sympatric fur seal species at the Crozet Islands</t>
  </si>
  <si>
    <t>activity budget; spatial distribution; environmental features; otariidea; Arctocephalus gazella; Arctocephalus tropicalis</t>
  </si>
  <si>
    <t>TRACKED KING PENGUINS; ARCTOCEPHALUS-GAZELLA; SURFACE TEMPERATURES; DIVING ACTIVITY; TROPICALIS; ENERGETICS; ECOLOGY; VARIABILITY; POPULATION; DYNAMICS</t>
  </si>
  <si>
    <t>Marine top-predators such as marine mammals forage in a heterogeneous environment according to their energetic requirements and to the variation in environmental characteristics. In this study, the behaviour of breeding females in 2 sympatric fur seal species, Antarctic fur seal Arctocephalus gazella and Subantarctic fur seal A. tropicalis, was investigated in relation to foraging effort. Foraging effort was hypothesised to be greater in Antarctic fur seal than in Subantarctic fur seal due to their shorter lactation period. Using satellite telemetry, time-depth recorders and satellite images of sea-surface temperature and chlorophyll a concentration, the foraging grounds, the at-sea activity budgets and the environmental features were determined for both species breeding on the Crozet Archipelago. Foraging cycle duration was similar for the 2 species, and the seals exhibited similar at-sea activity budgets. Only the proportion of time spent at sea was higher in Antarctic fur seals. Separate foraging areas were identified for the 2 species. Antarctic fur seal distribution was related to bathymetric features, while we did not find any direct relationship between chlorophyll a concentration and seal foraging areas. Our results suggest that Antarctic fur seals tend to respond to the higher needs of their pups by having a higher foraging efficiency and concentrating their foraging activity in the most productive areas.</t>
  </si>
  <si>
    <t>CNRS, Ctr Etud Biol Chize, F-79360 Villiers En Bois, France; Mem Univ Newfoundland, Dept Biol, St John, NF A1B 3X9, Canada; Deakin Univ, Sch Biol &amp; Chem Sci, Burwood, Vic 3125, Australia</t>
  </si>
  <si>
    <t>Centre National de la Recherche Scientifique (CNRS); Memorial University Newfoundland; Deakin University</t>
  </si>
  <si>
    <t>bailleul@cebc.cnrs.fr</t>
  </si>
  <si>
    <t>Dubroca, Laurent/AAS-5187-2021; Guinet, Christophe/AAR-8457-2020</t>
  </si>
  <si>
    <t>Dubroca, Laurent/0000-0002-1861-0507; Bailleul, Frederic/0000-0002-4186-4708</t>
  </si>
  <si>
    <t>10.3354/meps293273</t>
  </si>
  <si>
    <t>943WY</t>
  </si>
  <si>
    <t>Bronze, Green Accepted, Green Submitted</t>
  </si>
  <si>
    <t>WOS:000230387400026</t>
  </si>
  <si>
    <t>Sala, MM; Arin, L; Balagué, V; Felipe, J; Guadayol, O; Vaqué, D</t>
  </si>
  <si>
    <t>Functional diversity of bacterioplankton assemblages in western Antarctic seawaters during late spring</t>
  </si>
  <si>
    <t>bacterial activity; functional diversity; biolog; aminopeptidase; ectoenzyme; Antarctica</t>
  </si>
  <si>
    <t>CARBON-SOURCE UTILIZATION; ROSS SEA; MICROBIAL COMMUNITIES; HETEROTROPHIC BACTERIA; METABOLIC CAPABILITIES; SUBSTRATE UTILIZATION; ORGANIC-MATTER; AUSTRAL SUMMER; MARINE WATERS; BIOMASS</t>
  </si>
  <si>
    <t>Functional diversity and aminopeptidase activity (AMA) in bacterial assemblages were determined in western Antarctic waters during late spring 2002. Functional diversity was assayed by the patterns of sole carbon source utilization in Biolog-ECO Microplates(TM) and AMA with the fluorogenic substrate leucine 7-amido-4-methylcoumarin. N-acetyl-D-glucosamine and D-cellobiose were the most used carbohydrates. This suggested that used dissolved organic carbon (DOC) was mostly of either zoo-or phytoplankton origin. Principal component analysis of the sole carbon source utilization profiles separated the samples according to salinity and temperature. This separation corresponded roughly with the 3 areas of study: Bransfield Strait (BR), Gerlache Strait (GE) and Belling-shausen Sea (BE). AMA was higher in the upper 40 m, probably associated with the higher organic matter load. Phytoplankton biomass was the factor that accounted for the highest variance in AMA, but did not have a clear influence on functional diversity of bacterioplankton. Our findings indicate that differences in functional diversity of bacterioplankton populations in western Antarctic waters are not directly related to phytoplanktonic abundance. This suggests that bacteria could utilize other carbon sources than DOC freshly released by phytoplankton.</t>
  </si>
  <si>
    <t>CSIC, Inst Ciencies Mar CMIMA, Dept Biol Marina &amp; Oceanog, Barcelona 08003, Spain</t>
  </si>
  <si>
    <t>Consejo Superior de Investigaciones Cientificas (CSIC); CSIC - Centro Mediterraneo de Investigaciones Marinas y Ambientales (CMIMA); CSIC - Instituto de Ciencias del Mar (ICM)</t>
  </si>
  <si>
    <t>CSIC, Inst Ciencies Mar CMIMA, Dept Biol Marina &amp; Oceanog, P Maritim Barceloneta 37-49, Barcelona 08003, Spain.</t>
  </si>
  <si>
    <t>msala@icm.csic.es</t>
  </si>
  <si>
    <t>Guadayol, Òscar/N-2940-2013; , Maria Montserrat/AAW-7487-2021; SALA, Maria Montserrat/O-4726-2014; Vaque, Dolors/H-6973-2018</t>
  </si>
  <si>
    <t>Guadayol, Òscar/0000-0001-9552-1041; SALA, Maria Montserrat/0000-0002-3804-5680; Balague, Vanessa/0000-0001-6813-8207; Vaque, Dolors/0000-0002-0420-5914</t>
  </si>
  <si>
    <t>937MJ</t>
  </si>
  <si>
    <t>WOS:000229927900002</t>
  </si>
  <si>
    <t>Jorgensen, BB; Glud, RN; Holby, O</t>
  </si>
  <si>
    <t>Oxygen distribution and bioirrigation in Arctic fjord sediments (Svalbard, Barents Sea)</t>
  </si>
  <si>
    <t>oxygen uptake; marine sediment; polychaete burrow; microelectrode; diffusion</t>
  </si>
  <si>
    <t>ANTARCTIC COASTAL ENVIRONMENT; TEMPERATURE-DEPENDENCE; BENTHIC COMMUNITY; MARINE SEDIMENT; YOUNG SOUND; CARBON; MINERALIZATION; RESPIRATION; GREENLAND; FLUXES</t>
  </si>
  <si>
    <t>The penetration of oxygen into silty fjord sediments from northern Norway and SW Svalbard was studied at 6 sites during a research cruise to the northern Barents Sea. Profiles of oxygen were measured by microelectrodes on retrieved sediment cores in a thermostated flow aquarium and used to develop composite, 2-dimensional images of the oxygen distribution. Oxygen penetrations ranged from 3 to 11 min with a mean depth of 6 to 8 mm. The mean diffusive oxygen uptake rates across the sediment-water interface ranged from 2.8 to 13.4 mmol O-2 m(-2) d(-1). The diffusive flux accounted for 60 to 95% of the total oxygen uptake of the sediments as measured in situ by a flux chamber lander. The sediments were densely populated by fauna such as tube-dwelling polychaetes. Inhabited and relict tubes of 1 to 2.5 mm diameter reached densities of up to 1 cm(-2), and about 15 % of all oxygen microprofiles showed evidence of advective oxygen flow through the tubes. Based on oxygen microprofiles and data on burrow geometry and density, burrows extending down into the anoxic sediment extended the oxic sediment volume by 2 to 10 % and thereby enhanced the oxygen flux. Anoxic microenvironments were not detected, but during inactivity of polychaetes their tubes became depleted in oxygen relative to the surrounding sediment.</t>
  </si>
  <si>
    <t>Max Planck Inst Marine Microbiol, D-28359 Bremen, Germany; Univ Copenhagen, Marine Biol Lab, DK-3000 Helsingor, Denmark; Karlstad Univ, Dept Environm &amp; Energy Syst, S-65188 Karlstad, Sweden</t>
  </si>
  <si>
    <t>Max Planck Society; University of Copenhagen; Karlstad University</t>
  </si>
  <si>
    <t>Max Planck Inst Marine Microbiol, Celsiusstr 1, D-28359 Bremen, Germany.</t>
  </si>
  <si>
    <t>bjoergen@mpi-bremen.de</t>
  </si>
  <si>
    <t>Ross, Donald J/F-7607-2012; Jorgensen, Bo Barker/C-2214-2013</t>
  </si>
  <si>
    <t>Jorgensen, Bo Barker/0000-0001-9398-8027; Glud, Ronnie N./0000-0002-7069-893X</t>
  </si>
  <si>
    <t>10.3354/meps292085</t>
  </si>
  <si>
    <t>WOS:000229927900008</t>
  </si>
  <si>
    <t>Meyer, B; Oettl, B</t>
  </si>
  <si>
    <t>Effects of short-term starvation on composition and metabolism of larval Antarctic krill Euphausia superba</t>
  </si>
  <si>
    <t>Antarctic krill; Euphausia superba; larval krill; starvation</t>
  </si>
  <si>
    <t>PENAEUS-SEMISULCATUS CRUSTACEA; HYAS-ARANEUS DECAPODA; MARGINAL ICE-ZONE; ENERGY BUDGETS; SOUTHERN-OCEAN; GROWTH; DANA; WINTER; ZOOPLANKTON; HEPATOPANCREAS</t>
  </si>
  <si>
    <t>Metabolic rates and elemental and biochemical composition of Furcilia IV (FIV) larvae of Euphausia superba were studied during 12 d of starvation at the onset of winter in the Bellings-hausen Sea. This time of the year may be a critical period in the krill life cycle because their larvae must switch from feeding on summer phytoplankton blooms to winter ice algae. FIV utilized mainly lipids overall, but also protein during the second half of the 12 d period. After 6 d of starvation most of the larvae lost half of their body C. Body lipid content decreased from 12.7 to 1.5 % of dry mass (DM), whereas protein fell from 32.7 to 25.8% of DM, Respiration rates decreased from 1.3 to 0.7-0.8 mu m O-2 (mg DM)(-1) h(-1) in the first 3 d, after which they remained roughly constant. These rates correspond to C losses of 2.7 and 2.0% body C d(-1) respectively. Excretion rates decreased from 0.04 to 0.02 mu g NH4 (mg DM)(-1) h(-1) until the middle of the starvation period and then rose to 0.05 mu g NH4 (mg DM)(-1) h(-1) by the end, which is probably related to the increase in protein breakdown. Based on these losses of body C and lipid, the FIV larvae may pass their point of no return, where they lose their ability to recover from nutritional stress, after 6 d.</t>
  </si>
  <si>
    <t>Alfred Wegener Inst Polar &amp; Marine Res, Sci Div Biol Oceanog, D-27570 Bremerhaven, Germany</t>
  </si>
  <si>
    <t>Meyer, B (corresponding author), Alfred Wegener Inst Polar &amp; Marine Res, Sci Div Biol Oceanog, Handelshafen 12, D-27570 Bremerhaven, Germany.</t>
  </si>
  <si>
    <t>bmeyer@awi-bremerhaven.de</t>
  </si>
  <si>
    <t>Meyer, Bettina/ABB-5311-2020</t>
  </si>
  <si>
    <t>Meyer, Bettina/0000-0001-6804-9896</t>
  </si>
  <si>
    <t>10.3354/meps292263</t>
  </si>
  <si>
    <t>WOS:000229927900023</t>
  </si>
  <si>
    <t>Powell, LM; Bowman, JP; Skerratt, JH; Franzmann, PD; Burton, HR</t>
  </si>
  <si>
    <t>Ecology of a novel Synechococcus clade occurring in dense populations in saline Antarctic lakes</t>
  </si>
  <si>
    <t>Synechococcus; Antarctica; meromictic lakes; marine ecosystems</t>
  </si>
  <si>
    <t>FATTY-ACID COMPOSITION; PSYCHROPHILIC BACTERIA; MARINE SYNECHOCOCCUS; COMMUNITY STRUCTURE; MEROMICTIC LAKES; VESTFOLD HILLS; GROWTH-RATES; PROCHLOROCOCCUS; CYANOBACTERIA; DNA</t>
  </si>
  <si>
    <t>The seasonal distribution and abundance of Synechococcus-like morphotypes was investigated in meromictic lakes and coastal areas of the Vestfold Hills, Antarctica. Populations were monitored by flow cytometry utilising phycoerythrin content and small cell size to distinguish the cells from other phytoplankton. In Ace Lake, the Synechococcus bloom commenced in September at the water temperature minimum and peaked in late November. Populations (up to 8 x 10(6) cells ml(-1)) were maximally stratified at a depth of 11 m, corresponding to waters which were supersaturated with oxygen, high in phosphate and which received &gt; 5 pmol photons m(-2) s(-1) of light. At this depth, salinity (30 g kg(-1)) was constant throughout the year and temperature ranged from 4.5 degrees C in October to 10.5 degrees C in February. In late November, high numbers of Synechococcus cells also occurred in the moderate salinity water bodies Lake Abraxas and Pendant Lake (salinity 16.5 to 31.0 g kg(-1)), with populations highly stratified in Lake Abraxas (up to 1.5 x 10(7) cells ml(-1), temperature 8.0 degrees C, salinity 20.3 g kg(-1)) but less so in the colder waters of Pendant Lake (max. 1.5 x 10(7) cells ml(-1), temperature 0.1 to 1.1 degrees C, salinity 31.0 g kg(-1)). Synechococcus populations did not occur in brackish, coastal marine or hypersaline water bodies in the Vestfold Hills. Populations appear to be controlled primarily by temperature and to a lesser extent by light availability and grazing. Characterization of non-axenic cultures indicated that the Antarctic lake Synechococcus populations were similar to other polar picocyanobacteria in terms of cardinal growth temperatures (minimum, optimum, maximum: T-min -17.0 degrees C, T-opt, 19.8 degrees C, T-max 29.5 degrees C) and slow growth. Related only peripherally to Synechococcus sp. Cluster 5.2 (Marine Cluster B), the Antarctic strains represent a unique and highly adapted clade in the stable water columns of some saline Antarctic lakes.</t>
  </si>
  <si>
    <t>Univ Tasmania, Sch Agr Sci, Australian Food Safety Ctr Excellence, Hobart, Tas 7001, Australia; CSIRO, Div Marine Res, Hobart, Tas 7001, Australia; CSIRO, Land &amp; Water Div, Wembley, WA 6014, Australia; Australian Antarctic Div, Kingston, Tas 7050, Australia</t>
  </si>
  <si>
    <t>University of Tasmania; Commonwealth Scientific &amp; Industrial Research Organisation (CSIRO); Commonwealth Scientific &amp; Industrial Research Organisation (CSIRO); Australian Antarctic Division</t>
  </si>
  <si>
    <t>Univ Tasmania, Sch Agr Sci, Australian Food Safety Ctr Excellence, Private Bag 54, Hobart, Tas 7001, Australia.</t>
  </si>
  <si>
    <t>Skerratt, Jennifer/F-2010-2015; Bowman, John P/C-2414-2014; Bowman, John P./ABF-5108-2020; skerratt, jennifer/N-4313-2019</t>
  </si>
  <si>
    <t>Skerratt, Jennifer/0000-0001-9023-4692; Bowman, John P/0000-0002-4528-9333; Bowman, John P./0000-0002-4528-9333; skerratt, jennifer/0000-0001-9023-4692</t>
  </si>
  <si>
    <t>10.3354/meps291065</t>
  </si>
  <si>
    <t>934HH</t>
  </si>
  <si>
    <t>WOS:000229699400006</t>
  </si>
  <si>
    <t>Cook, AA; Bhadury, P; Debenham, NJ; Meldal, BHM; Blaxter, ML; Smerdon, GR; Austen, MC; Lambshead, PJD; Rogers, AD</t>
  </si>
  <si>
    <t>Denaturing gradient gel electrophoresis (DGGE) as a tool for identification of marine nematodes</t>
  </si>
  <si>
    <t>marine nematodes; 18S ribosomal DNA; denaturing gradient gel electrophoresis</t>
  </si>
  <si>
    <t>MULTIPLE SEQUENCE ALIGNMENT; MITOCHONDRIAL-DNA; BIODIVERSITY; COMMUNITY; ECOLOGY; GENOME; RDNA; SUBSTITUTIONS; DIVERSITY; SEDIMENT</t>
  </si>
  <si>
    <t>Many phyla of marine invertebrates are difficult to identify using conventional morphological taxonomy. Larvae of a wider set of phyla are also difficult to identify as a result of conservation of morphology between species or because morphological characters are destroyed during sampling and preservation. DNA sequence analysis has the potential for identification of marine organisms to the species level. However, sequence analysis of specimens is time-consuming and impractical when species diversity is very high and densities of individuals huge, as they are in many marine habitats. The effectiveness of the 18S rRNA gene sequences for identification of one speciesrich marine group, the Nematoda, is analysed. Following identification of variable regions of the 18S rRNA gene, primers were designed to amplify a small segment of sequences suitable for denaturing gradient gel electrophoresis (DGGE). The effectiveness of DGGE for identifying individual species is analysed. DGGE analysis of natural communities of nematodes detected less than 2/3 of the species present. This fraction of the community probably represents the abundant species in the original samples. It is concluded that DGGE is not a useful tool for analysis of species richness in marine communities as it fails to detect rare species of which there are usually many in the marine benthic environment. However, DGGE may be a useful method for detecting changes in communities that influence the abundance of the most common taxa.</t>
  </si>
  <si>
    <t>British Antarctic Survey, Nat Environ Res Council, Cambridge CB3 0ET, England; Nat Hist Museum, Dept Zool, Nematode Res Grp, London SW7 5BD, England; Plymouth Marine Lab, Plymouth PL1 3DH, Devon, England; Univ Southampton, Sch Ocean &amp; Earth Sci, Southampton Oceanog Ctr, Southampton SO14 3ZH, Hants, England; Univ Edinburgh, Inst Cell Anim &amp; Populat Biol, Ashworth Labs, Edinburgh EH9 3JT, Midlothian, Scotland</t>
  </si>
  <si>
    <t>UK Research &amp; Innovation (UKRI); Natural Environment Research Council (NERC); NERC British Antarctic Survey; Natural History Museum London; Plymouth Marine Laboratory; NERC National Oceanography Centre; University of Southampton; University of Edinburgh</t>
  </si>
  <si>
    <t>British Antarctic Survey, Nat Environ Res Council, High Cross,Madingley Rd, Cambridge CB3 0ET, England.</t>
  </si>
  <si>
    <t>adr2@bas.ac.uk</t>
  </si>
  <si>
    <t>Blaxter, Mark/O-2535-2019; Bhadury, Punyasloke/A-2355-2008; Lambshead, PJD/AAC-6757-2021; Smerdon, Gary/W-2035-2019; Austen, Melanie C/GLU-1418-2022; Blaxter, Mark/B-4113-2010</t>
  </si>
  <si>
    <t>Smerdon, Gary/0000-0003-1121-0778; Austen, Melanie C/0000-0001-8133-0498; Bhadury, Punyasloke/0000-0001-8714-7475; Rogers, Alex David/0000-0002-4864-2980; Blaxter, Mark/0000-0003-2861-949X</t>
  </si>
  <si>
    <t>10.3354/meps291103</t>
  </si>
  <si>
    <t>WOS:000229699400009</t>
  </si>
  <si>
    <t>Vlietstra, LS</t>
  </si>
  <si>
    <t>Spatial associations between seabirds and prey: effects of large-scale prey abundance on smallscale seabird distribution</t>
  </si>
  <si>
    <t>predator-prey interactions; spatial relationships; numerical concordance; hydroacoustic surveys; marine bird distribution; foraging behavior</t>
  </si>
  <si>
    <t>PERCEPTUAL CONSTRAINTS; SCHOOLING FISH; HABITAT SELECTION; ANTARCTIC KRILL; AVIAN PREDATORS; DIVING DEPTHS; MONTEREY BAY; COMMON MURRE; SEA; PATTERNS</t>
  </si>
  <si>
    <t>The purpose of this study was to examine whether variation in the extent to which marine birds track prey over small spatial scales can be attributed, in part, to fluctuations in regional prey abundance. The distributions of 4 marine bird species were compared to the distribution of acoustically determined prey biomass on days with contrasting prey abundances measured over a 10 x 20 km (regional) spatial scale. Spatial associations were measured at smaller (local) spatial scales, ranging from 0.2 to 7.6 km. Spatial concordance (i.e. overlap) between the distribution of acoustic biomass and the rhinoceros auklet Cerorhinca monocerata and between acoustic biomass and the Pacific loon Gavia pacifica at the smallest spatial scale (0.2 km) was greater on days when regional prey abundance was relatively low than on days when regional prey abundance was relatively high. This pattern was not evident in Brandt's cormorant Phalacrocorax penicillatus or the common murre Uria aalge. The densities of all 4 marine bird species examined were, however, only significantly correlated with densities of acoustic biomass on days when regional prey abundance was relatively low. I propose that short-term fluctuations in regional prey abundance account for some of the widespread variation previously observed in the strength of spatial associations between marine birds and their prey.</t>
  </si>
  <si>
    <t>Univ Calif Irvine, Dept Ecol &amp; Evolutionary Biol, Irvine, CA 92697 USA</t>
  </si>
  <si>
    <t>Univ Calif Irvine, Dept Ecol &amp; Evolutionary Biol, Irvine, CA 92697 USA.</t>
  </si>
  <si>
    <t>lvlietstra@cga.uscg.mil</t>
  </si>
  <si>
    <t>10.3354/meps291275</t>
  </si>
  <si>
    <t>WOS:000229699400024</t>
  </si>
  <si>
    <t>Stewart, GM; Fowler, SW; Teyssié, JL; Cotret, O; Cochran, JK; Fisher, NS</t>
  </si>
  <si>
    <t>Contrasting transfer of polonium-210 and lead-210 across three trophic levels in marine plankton</t>
  </si>
  <si>
    <t>polonium; lead; trophic transfer; plankton; bioaccumulation; residence time; Artemia; krill</t>
  </si>
  <si>
    <t>KRILL MEGANYCTIPHANES-NORVEGICA; MUSSEL MYTILUS-EDULIS; NORTHERN KRILL; TRACE-METALS; ANTARCTIC KRILL; FOOD; ACCUMULATION; ELEMENTS; BIOACCUMULATION; DYNAMICS</t>
  </si>
  <si>
    <t>The naturally occurring radionuclides Po-210 and Pb-210 can be used as geochemical tracers in marine systems, but their interactions with biota in surface waters need to be understood before oceanographic data can be interpreted unambiguously. We compared the food chain dynamics of these radionuclides in plankton assemblages by measuring the uptake and trophic transfer of Po-210 and Pb-210 from phytoplankton to brine shrimp Artemia sp. to euphausiids Meganyctiphanes norvegica under controlled laboratory conditions. The ratio of Po-210:Pb-210 within organisms increased 5- to 12-fold with each trophic level (phytoplankton to grazer to carnivore), reflecting a preferential bioaccumulation of Po-210 over Pb-210. M norvegica assimilated 44 % of the polonium ingested but only 3.5% of the Pb-210 ingested. Because Pb-210 was unassimilated, the ratio of Po-210:Pb-210 was 1 to 2 orders of magnitude smaller in zooplankton fecal pellets than in the animals producing them. These results suggest that in surface waters Po-210 has the potential to build up in food chains and be biologically recycled, whereas Pb-210 would not build up in marine food chains and would display shorter residence times. Since euphausiids comprise an important link between small plankton and larger predatory animals in many marine ecosystems, they may serve as an important conduit of Po-210 to those predators consumed as seafood by humans.</t>
  </si>
  <si>
    <t>SUNY Stony Brook, Marine Sci Res Ctr, Stony Brook, NY 11794 USA; IAEA, Marine Environm Lab, MC-98000 Monaco, Monaco</t>
  </si>
  <si>
    <t>State University of New York (SUNY) System; State University of New York (SUNY) Stony Brook</t>
  </si>
  <si>
    <t>SUNY Stony Brook, Marine Sci Res Ctr, Stony Brook, NY 11794 USA.</t>
  </si>
  <si>
    <t>gstewart@ic.sunysb.edu</t>
  </si>
  <si>
    <t>Fowler, Scott W./I-4663-2019</t>
  </si>
  <si>
    <t>10.3354/meps290027</t>
  </si>
  <si>
    <t>925UW</t>
  </si>
  <si>
    <t>WOS:000229079800003</t>
  </si>
  <si>
    <t>Thompson, BAW; Riddle, MJ</t>
  </si>
  <si>
    <t>Bioturbation behaviour of the spatangoid urchin Abatus ingens in Antarctic marine sediments</t>
  </si>
  <si>
    <t>Abatus ingens; bioturbation; antarctica; spatangoid urchins</t>
  </si>
  <si>
    <t>BRISSOPSIS-LYRIFERA FORBES; ECHINOCARDIUM-CORDATUM; ECHINODERMATA; BIOLOGY; ECHINOIDEA; DIVERSITY</t>
  </si>
  <si>
    <t>A series of in situ and aquarium experiments were conducted in the vicinity of he Bailey Peninsula area (Casey Station, East Antarctica) to investigate the bioturbation behaviour of the Antarctic spatangoid urchin Abatus ingens (Koehler 1928). Rates of sediment transport by A. ingens were estimated from measurements of locomotion rates, sediment reworking depth and feeding rates. A. ingens bioturbates and feeds on the surface sediment (top 1 to 2 cm) by pushing diatom communities and sediment ahead and to the side of its track, thus increasing vertical and horizontal sediment transport. Over a 24 h period in situ, A. ingens spends prolonged periods of time stationary (16.7 h) and only short periods of time in locomotion (7.3 h). In the aquarium, however, A. ingens was observed to spend half of the time moving and the other half stationary. Locomotion rate measured in the aquarium was faster (1.95 cm h(-1) [1.20 SD]) than in situ (0.30 cm h(-1) [0.27 SD]). In addition, A. ingens moves significantly faster during light hours than periods of darkness in situ. An ingestion rate of 0.02 to 0.06 g h(-1) of dry sediment was measured for A. ingens, with a gut sediment passage time of 72 to 97 h. A. ingens reworks 2.76 cm(3) h(-1) (2.52 SD) in situ; however, this calculation (based on forward movement only) may be an underestimate because A. ingens still reworks the sediment (via rocking and rotating on the spot) when it is not moving forwards. It is concluded that A. ingens is a significant contributor to the reworking of sediments in the Antarctic benthic environment.</t>
  </si>
  <si>
    <t>Australian Antarctic Div, Human Impacts Res Program, Kingston, Tas 7050, Australia; Univ Tasmania, Sandy Bay, Tas 7004, Australia</t>
  </si>
  <si>
    <t>Thompson, BAW (corresponding author), Australian Antarctic Div, Human Impacts Res Program, Channel Highway, Kingston, Tas 7050, Australia.</t>
  </si>
  <si>
    <t>belinda.thompson@aad.gov.au</t>
  </si>
  <si>
    <t>10.3354/meps290135</t>
  </si>
  <si>
    <t>WOS:000229079800012</t>
  </si>
  <si>
    <t>Connan, M; Mayzaud, P; Boutoute, M; Weimerskirch, H; Cherel, Y</t>
  </si>
  <si>
    <t>Lipid composition of stomach oil in a procellariiform seabird Puffinus tenuirostris:: implications for food web studies</t>
  </si>
  <si>
    <t>antarctica; short-tailed shearwater; fatty alcohols; fatty acids; trophic interactions; myctophids; tasmania</t>
  </si>
  <si>
    <t>FATTY-ACID-COMPOSITION; SQUID MOROTEUTHIS-INGENS; SHORT-TAILED SHEARWATERS; WAX ESTERS; CALANUS-PROPINQUUS; ANTARCTIC COPEPODS; CALANOIDES-ACUTUS; SOUTHERN-OCEAN; MEGANYCTIPHANES-NORVEGICA; THYSANOESSA-MACRURA</t>
  </si>
  <si>
    <t>Some procellariiform seabirds use a dual strategy for provisioning their chicks by alternating between short and long foraging trips (LT). Trophic relationships of adult birds are unknown when they feed for themselves during LT because digestion processes preclude direct prey determination. Since stomach contents collected after LT contain oil of dietary origin, we tested the use of oil lipids as prey trophic markers using the Tasmanian short-tailed shearwater Puffinus tenuirostris as a model seabird. The intra-specific variability of stomach oils was investigated through lipid class composition, and their fatty acid and fatty alcohol profiles. Oils mainly consisted of wax esters (WE) and triacylglycerols (TAG) (49 to 86 and 7 to 41%, respectively). Major fatty acids of TAG were in a decreasing order 18:1n-9, 16:0, 16:1n-7, 14:0, 20:5n-3 and 22:6n-3. The WE-fatty acid profiles were dominated by 18:1n-9 and 16:1n-7 while fatty alcohol profiles were dominated by 16:0. Fatty alcohol and fatty acid patterns were tested as possible descriptors of ingested prey (derived from literature data.) through multivariate discriminant analyses. Comparisons of the WE fatty alcohol patterns showed a close association with the alcohol structure of 3 myctophid fish species namely Krefftichthys anderssoni, Gymnoscopelus braueri and Electrona antarctica; these results were corroborated by WE fatty acid analysis. Comparison of TAG fatty acid patterns showed the highest similarity between oils and the digestive gland of the myctophid-eater squid Moroteuthis ingens in association with the myctophid Electrona carlsbergi. Hence, biochemical analysis of both WE and TAG strongly suggested that adult short-tailed shearwaters mainly prey upon Antarctic/sub-Antarctic myctophids when they feed for themselves, thus emphasizing the role of these oceanic mesopelagic fish in the marine ecosystem of the Southern Ocean.</t>
  </si>
  <si>
    <t>Lab Oceanog Villefranche Sur Mer, Observ Oceanol Oceanog Biochim &amp; Ecol, UMR 7093, F-06234 Villefranche Sur Mer, France; CNRS, Unite Propre Rech, Ctr Etudes Biol Chize, F-79360 Villiers En Bois, France</t>
  </si>
  <si>
    <t>Sorbonne Universite; Centre National de la Recherche Scientifique (CNRS); CNRS - National Institute for Earth Sciences &amp; Astronomy (INSU); Centre National de la Recherche Scientifique (CNRS)</t>
  </si>
  <si>
    <t>Mayzaud, P (corresponding author), Lab Oceanog Villefranche Sur Mer, Observ Oceanol Oceanog Biochim &amp; Ecol, UMR 7093, BP 28, F-06234 Villefranche Sur Mer, France.</t>
  </si>
  <si>
    <t>mayzaud@obs-vlfr.fr</t>
  </si>
  <si>
    <t>Connan, Maelle/A-8468-2008; Weimerskirch, Henri/F-5562-2013; Weimerskirch, Henri/K-7306-2019</t>
  </si>
  <si>
    <t>Weimerskirch, Henri/0000-0002-0457-586X; Connan, Maelle/0000-0002-1308-9118</t>
  </si>
  <si>
    <t>10.3354/meps290277</t>
  </si>
  <si>
    <t>WOS:000229079800022</t>
  </si>
  <si>
    <t>Semmens, JM; Jackson, GD</t>
  </si>
  <si>
    <t>Evaluation of biochemical indices for assessing growth and condition of the deepwater squid Moroteuthis ingens</t>
  </si>
  <si>
    <t>squid; biochemical indices; nucleic acid; growth; condition; muscle tissue; digestive gland; Moroteuthis ingens</t>
  </si>
  <si>
    <t>DRUM SCIAENOPS-OCELLATUS; SEPIA-OFFICINALIS L; NEW-ZEALAND WATERS; RNA-DNA RATIOS; SEPIOTEUTHIS-LESSONIANA; PROTEIN-SYNTHESIS; STOMACH CONTENTS; DIGESTIVE GLAND; SOUTHERN-OCEAN; CEPHALOPODA</t>
  </si>
  <si>
    <t>This study investigated whether biochemical indices (RNA, DNA and protein concentrations and RNA:protein and RNA:DNA ratios) of the mantle muscle and digestive gland were related to growth and condition in wild-caught squid Moroteuthis ingens. The influence of size, sex and reproductive maturity on these relationships was also examined. Levels of RNA, DNA and RNA:protein ratios in the digestive gland were much higher than those in muscle, perhaps due to the high metabolic activity of the gland. The digestive gland of females, however, showed no correlation for any of the indices. There was a general trend of smaller immature males and females having higher levels of biochemical indices compared to larger mature individuals, which was most probably a trade-off between somatic and reproductive growth. RNA concentration and RNA:protein ratio demonstrated the greatest number of correlations with measures of growth and condition, suggesting that they are the most appropriate biochemical indices for M. ingens. There was weak support for using RNA:protein and RNA:DNA ratios to assess the condition of M ingens, Despite this, there was little support for the biochemical indices being directly related to growth rates. Faster growing females had lower levels of RNA, DNA, protein and RNA:protein ratios than slower growing individuals, negating the rationale that these indices are a measure of instantaneous growth. These results, however, may represent a lag between whole body growth and RNA levels. Alternatively, biochemical indices may simply not be suitable for field studies of cephalopods.</t>
  </si>
  <si>
    <t>Univ Tasmania, Marine Res Labs, Tasmanian Aquaculture &amp; Fisheries Inst, Hobart, Tas 7001, Australia; Univ Tasmania, Inst Antarctic &amp; So Ocean Studies, Hobart, Tas 7001, Australia</t>
  </si>
  <si>
    <t>Semmens, JM (corresponding author), Univ Tasmania, Marine Res Labs, Tasmanian Aquaculture &amp; Fisheries Inst, Private Bag 49, Hobart, Tas 7001, Australia.</t>
  </si>
  <si>
    <t>jayson.semmens@utas.edu.au</t>
  </si>
  <si>
    <t>Semmens, Jayson/0000-0003-1742-6692</t>
  </si>
  <si>
    <t>10.3354/meps289215</t>
  </si>
  <si>
    <t>923RV</t>
  </si>
  <si>
    <t>WOS:000228927900019</t>
  </si>
  <si>
    <t>Papetti, C; Zane, L; Bortolotto, E; Bucklin, A; Patarnello, T</t>
  </si>
  <si>
    <t>Genetic differentiation and local temporal stability of population structure in the euphausiid Meganyctiphanes norvegica</t>
  </si>
  <si>
    <t>Meganyctiphanes norvegica; northern krill; population genetics; mtDNA; NADH dehydrogenase; SSCP; gene pool</t>
  </si>
  <si>
    <t>NORTHERN KRILL; CALANUS-FINMARCHICUS; VERTICAL MIGRATION; ANTARCTIC KRILL; ATLANTIC-OCEAN; DYNAMICS; PATTERNS; DNA; SUBDIVISION; ZOOPLANKTON</t>
  </si>
  <si>
    <t>Meganyctiphanes norvegica (M. Sars 1856), the northern krill, is the largest and most abundant euphausiid species in the northern hemisphere, where it represents a key component of many pelagic communities. Although planktonic, krill could be considered a nektonic organism, as it is capable of active movements. This behaviour may be adaptive, because it allows these organisms to maintain their geographic position, leading to stable population structure, despite being continuously exposed to the heterogeneous oceanic conditions. By means of single-strand conformation polymorphism and DNA sequencing, we analyzed allelic variation of the Subunit 1 of NADH dehydrogenase mtDNA locus in 23 populations of the northern krill Meganyctiphanes norvegica, from 15 locations spanning the distribution range of the species. Analysis of the data indicated that the genetic structure, as revealed by analysis of population samples collected at the same site in consecutive years, was stable during that sampling period. Our results revealed the existence of 4 genetically and geographically distinct gene pools of M. norvegica, 2 occurring in the NE Atlantic ('northern' NE Atlantic and 'southern' NE Atlantic), 1 in the NW Atlantic, and 1 in the Mediterranean (Ligurian) Sea.</t>
  </si>
  <si>
    <t>Univ Padua, Dept Biol, I-35121 Padua, Italy; Univ Padua, Fac Med Vet, I-35020 Legnaro, Italy; Univ New Hampshire, Ocean Proc Anal Lab, Durham, NH 03824 USA</t>
  </si>
  <si>
    <t>University of Padua; University of Padua; University System Of New Hampshire; University of New Hampshire</t>
  </si>
  <si>
    <t>Univ Padua, Dept Biol, Via U Bassi 58B, I-35121 Padua, Italy.</t>
  </si>
  <si>
    <t>tomaso.patarnello@unipd.it</t>
  </si>
  <si>
    <t>Zane, Lorenzo/G-6249-2010</t>
  </si>
  <si>
    <t>Zane, Lorenzo/0000-0002-6963-2132; Bucklin, Ann/0000-0003-3750-9348; Papetti, Chiara/0000-0002-4567-459X; PATARNELLO, Tomaso/0000-0003-1794-5791</t>
  </si>
  <si>
    <t>10.3354/meps289225</t>
  </si>
  <si>
    <t>WOS:000228927900020</t>
  </si>
  <si>
    <t>van Leeuwe, MA; van Sikkelerus, B; Gieskes, WWC; Stefels, J</t>
  </si>
  <si>
    <t>Taxon-specific differences in photoacclimation to fluctuating irradiance in an Antarctic diatom and a green flagellate</t>
  </si>
  <si>
    <t>photoacclimation; fluorescence; xanthophyll pigments; fluctuating light; absorption; Chaetoceros brevis; Pyramimonas sp.</t>
  </si>
  <si>
    <t>LIGHT-INTENSITY ADAPTATION; PHOTOSYSTEM-II; SOUTHERN-OCEAN; CHLOROPHYLL FLUORESCENCE; PHOTOSYNTHETIC APPARATUS; PROTEIN-PHOSPHORYLATION; MARINE-PHYTOPLANKTON; EXCITATION-ENERGY; TIME COURSE; GROWTH</t>
  </si>
  <si>
    <t>Photoacclimation towards rapid changes in irradiance was studied in 2 Antarctic microalgae, the diatom Chaetoceros brevis (Bacillariophyceae) and the flagellate Pyramimonas sp. (Prasinophyceae). Both species were subjected to 3 different light regimes. Two regimes of vertical mixing (1:1 h and 3:3 h high light:low light) were superimposed on a diurnal light cycle mimicking the solar sine. For both species, maximum growth was recorded at the fastest rates of light fluctuation (1: 1 h). The light regimes had a minor effect on growth rates of the flagellate but growth in the diatom was reduced significantly at moderate rates of mixing (3:3 h). While xanthophyll cycling was active in both species, fluorescence analysis with a dual-modulated fluorometer showed that down-regulation of photosynthetic efficiency was more pronounced in Pyramimonas sp. (ca. 50%) than in C. brevis (ca. 30%). The ratio of photoprotectors to chlorophyll a was not significantly affected by the light regime, neither in the flagellate nor in the diatom. In the flagellate, state transition offered an additional means of energy dissipation during the periods of high irradiance. The diatom apparently acclimated to the average light intensity received and not to the maximum irradiance. It can be reasoned that this strategy led to photodamage during the 3:3 h cycling. It is argued that enhanced maintenance costs associated with necessary repair processes can explain the reduced growth rate that was observed. The ecological consequences for large bloom-forming diatom species are briefly discussed.</t>
  </si>
  <si>
    <t>Univ Groningen, Dept Marine Biol, NL-9750 AA Haren, Netherlands</t>
  </si>
  <si>
    <t>University of Groningen</t>
  </si>
  <si>
    <t>Univ Groningen, Dept Marine Biol, POB 14, NL-9750 AA Haren, Netherlands.</t>
  </si>
  <si>
    <t>m.a.van.leeuwe@rug.nl</t>
  </si>
  <si>
    <t>10.3354/meps288009</t>
  </si>
  <si>
    <t>916OG</t>
  </si>
  <si>
    <t>WOS:000228394400002</t>
  </si>
  <si>
    <t>Cotté, C; Simard, Y</t>
  </si>
  <si>
    <t>Formation of dense krill patches under tidal forcing at whale feeding hot spots in the St. Lawrence Estuary</t>
  </si>
  <si>
    <t>zooplankton; euphausiids; patchiness; whale habitat; tidal current; topography</t>
  </si>
  <si>
    <t>CAPELIN MALLOTUS-VILLOSUS; DIEL VERTICAL MIGRATIONS; MEGANYCTIPHANES-NORVEGICA; SCATTERING LAYERS; CONTINENTAL-SHELF; SOUND-SCATTERING; ANTARCTIC KRILL; WESTERN GULF; AGGREGATION; ZOOPLANKTON</t>
  </si>
  <si>
    <t>Hydroacoustics (38 and 120 kHz) was used to estimate the abundance and 3-dimensional distribution of krill and small pelagic fishes at the downstream end of Ile Rouge Bank (St. Lawrence Estuary) over the semidiurnal tidal cycle in July 2002. During the flood, upwelling and strong tidal currents (&gt; 1 m s(-1)) forced the krill to aggregate in a patch against the slope of the bank and the mouth of the South Channel. This rich krill patch was then advected in the Laurentian Channel during the ebb. The mean krill density changed from 4 g m(-3) in the neighbouring scattering layer of the Laurentian Channel to 500 g m(-3) in the shoaling zone where the patch formed. This aggregation is ascribed to the interaction between the semidiurnal tidal currents, the local topography, and the negative phototactism of krill. The krill scattering layer was composed of Thysanoessa raschi and Mega-nyctiphanes norvegica. Its upper limit was at a depth corresponding to a light level of 3.1 x 10(-1) to 1.2 x 10(-3) mu W cm(-2) nm(-1) which varied with the turbidity gradient and chlorophyll a concentration. The upper krill scattering layer at this light level was observed to swim down with a mean speed of 5 cm s(-1) (maximum 13 cm s(-1)). The recurrent and tidally predictable availability of rich krill patches makes this part of Ile Rouge bank a highly attractive area for predators such as small pelagic fishes and whales, the latter of which forage on both types of prey during the flood tide.</t>
  </si>
  <si>
    <t>Univ Quebec Rimouski, Inst Sci Mer, Rimouski, PQ G5L 3A1, Canada; Fisheries &amp; Oceans Canada, Maurice Lamontagne Inst, Mont Joli, PQ G5H 3Z4, Canada</t>
  </si>
  <si>
    <t>University of Quebec; Universite du Quebec a Rimouski; Fisheries &amp; Oceans Canada</t>
  </si>
  <si>
    <t>Univ Quebec Rimouski, Inst Sci Mer, 310 Allee Ursulines,POB 3300, Rimouski, PQ G5L 3A1, Canada.</t>
  </si>
  <si>
    <t>yvan_simard@uqar.qc.ca</t>
  </si>
  <si>
    <t>Cotte, Cedric/C-3296-2013; Simard, Yvan/AAG-6158-2020; Cotté, Cédric/Z-3243-2019; Cotté, Cédric/AAX-6120-2021</t>
  </si>
  <si>
    <t>Cotté, Cédric/0000-0002-8307-6435; Cotté, Cédric/0000-0002-8307-6435</t>
  </si>
  <si>
    <t>10.3354/meps288199</t>
  </si>
  <si>
    <t>WOS:000228394400017</t>
  </si>
  <si>
    <t>McMahon, CR; Hindell, MA; Burton, HR; Bester, MN</t>
  </si>
  <si>
    <t>Comparison of southern elephant seal populations, and observations of a population on a demographic knife-edge</t>
  </si>
  <si>
    <t>elasticity; population fitness; population trajectories; vital rates</t>
  </si>
  <si>
    <t>LIFE-HISTORY PARAMETERS; MIROUNGA-LEONINA; DECLINING POPULATION; SEXUAL-MATURITY; VIABILITY; SURVIVAL; AGE; CONSERVATION; MOVEMENTS; KERGUELEN</t>
  </si>
  <si>
    <t>The dynamics of animal populations are determined by several key demographic parameters, which vary over time with resultant changes in the status of the population. When managing declining populations, the identification of the parameters that drive such change are a high priority, but are rarely achieved for large and long-lived species. Southern elephant seal populations in the South Indian and South Pacific oceans have decreased by as much as 50% during the past 50 yr. The reasons for these decreases remained unknown. This study used a projected stochastic Leslie-matrix model based on long-term demographic data to examine the potential role of several life-history parameters in contributing to the declines. The models simulated the observed population trends that were independently derived from annual abundance surveys. Small changes in survival and fecundity had dramatic effects on population growth rates. At Macquarie Island for example, a small change (ca. 5%) in survival and fecundity rates resulted in the population reverting from a decreasing one to a population that increased. The vital rates that had the greatest impact on fitness were, in order of importance: (1) juvenile survival, (2) adult survival, (3) adult fecundity and (4) juvenile fecundity, Population viability analysis (PVA) for each of the 2 decreasing populations revealed that there was a high probability of the Marion Island population becoming extinct within the next 150 yr, while the probability of extinction at Macquarie Island was low. The estimated mean times to extinction for each population was 134 yr (95% confidence intervals: 105 to 332 yr) at Marion Island and 564 yr at Macquarie Island (the earliest time to extinction was 307 yr).</t>
  </si>
  <si>
    <t>Australian Antarctic Div, Kingston, Tas 7050, Australia; Univ Pretoria, Mammal Res Inst, Dept Zool &amp; Entomol, ZA-0002 Pretoria, South Africa; Univ Tasmania, Sch Zool, Antarct Wildlife Res Unit, Hobart, Tas 7001, Australia</t>
  </si>
  <si>
    <t>Australian Antarctic Division; University of Pretoria; University of Tasmania</t>
  </si>
  <si>
    <t>Univ Coll Swansea, Sch Biol Sci, Inst Environm Sustainabil, Singleton Pk, Swansea SA2 8PP, W Glam, Wales.</t>
  </si>
  <si>
    <t>c.r.mcmahon@swan.ac.uk</t>
  </si>
  <si>
    <t>Bester, Marthán N/E-5387-2010; McMahon, Clive R/D-5713-2013; Hindell, Mark A/C-8368-2013; Hindell, Mark A/K-1131-2013</t>
  </si>
  <si>
    <t>McMahon, Clive R/0000-0001-5241-8917; Hindell, Mark/0000-0002-7823-7185</t>
  </si>
  <si>
    <t>10.3354/meps288273</t>
  </si>
  <si>
    <t>WOS:000228394400024</t>
  </si>
  <si>
    <t>Barnes, DKA; Kuklinski, P</t>
  </si>
  <si>
    <t>Bipolar patterns of intraspecific competition in bryozoans</t>
  </si>
  <si>
    <t>sublittoral; benthos; bioconstruction; climate change; homosyndrome</t>
  </si>
  <si>
    <t>SPATIAL COMPETITION; DIVERSITY GRADIENTS; BENTHIC COMMUNITIES; SPECIES RICHNESS; DISTURBANCE; IMPACT; ICE; BIODIVERSITY; ECOLOGY; STRESS</t>
  </si>
  <si>
    <t>Polar shores probably represent the most dynamic and extremely disturbed environments on the globe. Nevertheless intense battles amongst sessile organisms for space are commonplace on hard substrata, mainly between fast-growing pioneer species. In this study we examined spatial interactions in encrusting species at 3 sites within each of 2 high Arctic localities, Horsund-fjord (77 degreesN) and Kongsfjord (79 degreesN) in Spitsbergen, and 2 Antarctic localities, Signy Island (60 degreesS) and Adelaide Island (68 degreesS). In both polar regions 1 to 11% of encrusting fauna were involved in intraspecific interactions. Intraspecific competition was common; it usually involved just 1 or 2 pioneer species, mainly ended in tied outcomes, and most variability was at a local scale. The proportion of intraspecific encounters varied considerably at local (km) scales (19 to 99% intraspecific at different sites), reflecting an extremely patchy environment due to ice scour. Most intraspecific encounters resulted in ties (stand-offs) and again most variability was at a local scale. Many intraspecific encounters were constructive, forming large (&gt;1 m(3)) foliaceous colonies (termed bioconstructions) whose 3D structures can harbour rich biotas. In other colonies intraspecific competition caused crowding and accelerated ovicell production (reproductive activity). Homosyndrome (fusion) was not observed in the Arctic and was rare in the Antarctic, where its frequency differed significantly between competitor identities. We found that the likelihood of meeting conspecifics versus other species and of tied outcomes in encounters was related to the performance of species in interspecific competition: ties were most common, and homosyndrome only occurred in poor competitors. In the context of rapid Arctic and west Antarctic warming and ice-loading of nearshore waters, we predict strongly changing patterns of intraspecific competition. Indeed we suggest that decreased patchiness of intraversus interspecific competition and decreased levels of intraspecific competition should be strong indicators of increases in surface water ice-loading from ice-sheet collapses.</t>
  </si>
  <si>
    <t>British Antarctic Survey, NERC, Cambridge CB3 0ET, England; Polish Acad Sci, Inst Oceanol, Marine Ecol Dept, PL-81712 Sopot, Poland</t>
  </si>
  <si>
    <t>UK Research &amp; Innovation (UKRI); Natural Environment Research Council (NERC); NERC British Antarctic Survey; Polish Academy of Sciences; Institute of Oceanology of the Polish Academy of Sciences</t>
  </si>
  <si>
    <t>10.3354/meps285075</t>
  </si>
  <si>
    <t>899ZS</t>
  </si>
  <si>
    <t>WOS:000227185300007</t>
  </si>
  <si>
    <t>Phillips, RA; Silk, JRD; Croxall, JP</t>
  </si>
  <si>
    <t>Foraging and provisioning strategies of the light-mantled sooty albatross at South Georgia: competition and co-existence with sympatric pelagic predators</t>
  </si>
  <si>
    <t>activity pattern; competition; niche specialisation; provisioning rate; spatial segregation</t>
  </si>
  <si>
    <t>ANTARCTIC POLAR FRONT; SURFACE TEMPERATURE DATA; WHITE-CHINNED PETRELS; WANDERING ALBATROSSES; FEEDING ECOLOGY; GIANT PETRELS; BIRD-ISLAND; PROCELLARIA-AEQUINOCTIALIS; THALASSARCHE-CHRYSOSTOMA; PHOEBETRIA-PALPEBRATA</t>
  </si>
  <si>
    <t>Foraging and provisioning strategies of the light-mantled sooty albatross (LMSA) Phoebetria palpebrata were studied during chick-rearing at Bird Island, South Georgia, in January to May 2003. Virtually all trips of satellite-tracked birds were restricted to Antarctic waters. Individual birds followed a diversity of foraging routes, the majority to shelf and shelf-slope areas along the southern Scotia Arc or to oceanic waters in the mid Scotia Sea, with only a few trips extending as far south as the marginal ice zone in the Weddell Sea. Sympatric white-chinned petrels Procellaria aequinoctialis, black-browed Thalassarche melanophrys and grey-headed albatrosses T chrysostoma also exploit these areas. Unlike LMSA, these species and the wandering albatross Diomeded exulans, also forage on the shelf and shelf-slope waters surrounding South Georgia, or at the Antarctic Polar Front (APF), where the larger albatrosses and smaller, more manoeuvrable white-chinned petrel may out-compete LMSA for access to prey. As a consequence, foraging distances and maximum ranges are greater, chick-feeding frequencies are lower and chick growth rate is slower in LMSA than in sympatric Thalassarche albatrosses, and adult LMSA appear to have little capacity to regulate provisioning according to chick condition. Nonetheless, LMSA seem well-adapted to exploitation of distant foraging grounds, apparently using the wind to reduce flight costs and, in comparison with other albatrosses, spending more of the night on the wing and returning with food loads that represent a greater proportion of adult mass.</t>
  </si>
  <si>
    <t>raphil@bas.ac.uk</t>
  </si>
  <si>
    <t>10.3354/meps285259</t>
  </si>
  <si>
    <t>WOS:000227185300024</t>
  </si>
  <si>
    <t>Yamashita, N; Kannan, K; Taniyasu, S; Horii, Y; Petrick, G; Gamo, T</t>
  </si>
  <si>
    <t>A global survey of perfluorinated acids in oceans</t>
  </si>
  <si>
    <t>4th International Conference on Marine Pollution and Ecotoxicology</t>
  </si>
  <si>
    <t>JUN, 2004</t>
  </si>
  <si>
    <t>Hong Kong, PEOPLES R CHINA</t>
  </si>
  <si>
    <t>SURFACE-WATER SAMPLES; PERFLUOROOCTANE SULFONATE; FLUORINATED HYDROCARBONS; BIRDS; BIOTA; FISH</t>
  </si>
  <si>
    <t>Perfluorinated acids and their salts have emerged as an important class of global environmental contaminants. Biological monitoring surveys conducted using tissues of marine organisms reported the occurrence of perfluorooctanesulfonate (PFOS) and related perfluorinated compounds in biota from various seas and oceans, including the Arctic and the Antarctic Oceans. Occurrence of perfluorinated compounds in remote marine locations is of concern and indicates the need for studies to trace sources and pathways of these compounds to the oceans. Determination of sub-parts-per- trillion (ng/L) or parts-per-quadrillion (pg/L) concentrations of aqueous media has been impeded by relatively high background levels arising from procedural or instrumental blanks. Our research group has developed a reliable and highly sensitive analytical method by which to monitor perfluorinated compounds in oceanic waters. The method developed is capable of detecting PFOS, perfluorohexanesulfonate (PFHS), perfluorobutanesulfonate (PFBS), perfluorooctanoate (PFOA), perfluorononanoate (PFNA), and perfluorooctanesulfonamide (PFOSA) at a few pg/L in oceanic waters. The method was applied to seawater samples collected during several international research cruises undertaken during 2002-2004 in the central to eastern Pacific Ocean (19 locations), South China Sea and Sulu Seas (five), north and mid Atlantic Ocean (12), and the Labrador Sea (20). An additional 50 samples of coastal seawater from several Asian countries (Japan, China, Korea) were analyzed. PFOA was found at levels ranging from several thousands of pg/L in water samples collected from coastal areas in Japan to a few tens of pg/L in the central Pacific Ocean. PFOA was the major contaminant detected in oceanic waters, followed by PFOS. Further studies are being conducted to elucidate the distribution and fate of perfluorinated acids in oceans. (c) 2005 Elsevier Ltd. All rights reserved.</t>
  </si>
  <si>
    <t>Natl Inst Adv Ind Sci &amp; Technol, AIST, Tsukuba, Ibaraki 3058569, Japan; SUNY Albany, Dept Environm Hlth &amp; Toxicol, Wadsworth Ctr, New York State Dept Hlth, Albany, NY 12201 USA; Leibniz Inst Marine Sci, IFM, GEOMAR, D-24105 Kiel, Germany; Univ Tokyo, Ocean Res Inst, Nakano Ku, Tokyo 1648639, Japan</t>
  </si>
  <si>
    <t>National Institute of Advanced Industrial Science &amp; Technology (AIST); State University of New York (SUNY) System; State University of New York (SUNY) Albany; Wadsworth Center; Helmholtz Association; GEOMAR Helmholtz Center for Ocean Research Kiel; University of Tokyo</t>
  </si>
  <si>
    <t>Natl Inst Adv Ind Sci &amp; Technol, AIST, 16-1 Onogawa, Tsukuba, Ibaraki 3058569, Japan.</t>
  </si>
  <si>
    <t>nob.yamashita@aist.go.jp</t>
  </si>
  <si>
    <t>Taniyasu, Sachi/L-2929-2018; Yamashita, Nobuyoshi/L-3290-2018</t>
  </si>
  <si>
    <t>Taniyasu, Sachi/0000-0002-2765-6814; Horii, Yuichi/0000-0002-2483-5139; Yamashita, Nobuyoshi/0000-0003-3448-8713</t>
  </si>
  <si>
    <t>8-12</t>
  </si>
  <si>
    <t>10.1016/j.marpolbul.2005.04.026</t>
  </si>
  <si>
    <t>995DI</t>
  </si>
  <si>
    <t>WOS:000234079700005</t>
  </si>
  <si>
    <t>Japanese whaling fleet back in Antarctic</t>
  </si>
  <si>
    <t>896PB</t>
  </si>
  <si>
    <t>WOS:000226944900006</t>
  </si>
  <si>
    <t>Dierer, S; Schluenzen, KH</t>
  </si>
  <si>
    <t>Influence parameters for a polar mesocyclone development</t>
  </si>
  <si>
    <t>METEOROLOGISCHE ZEITSCHRIFT</t>
  </si>
  <si>
    <t>SEA-ICE; FRAM STRAIT; MODEL; PREDICTION; LAYER</t>
  </si>
  <si>
    <t>Polar mesocyclones are small-scale, short-living phenomena in the Arctic and Antarctic. Their forecast is difficult due to a lack of knowledge of initial and boundary conditions. Idealised sensitivity studies are performed with the mesoscale atmosphere - sea ice model METRAS-MESIM to evaluate the relevance of the large-scale meteorological situation and sea ice cover for surface heat fluxes and a mesocyclone development. The evaluation area is 340 km x 340 km, and a sea ice distribution typical for the Fram Strait is used. The area averaged surface heat flux strongly depends on the ice distribution. The surface heat flux is about 95 W m(-2) for a mesocyclone moving close to the ice edge and a high sea ice concentration of 97% in the ice covered region. Ice thickness and ocean currents do not significantly influence the average surface heat fluxes. A large-scale situation that alters the cyclone track and forces the cyclone to mostly move over ice (cover 97%) reduces the average surface heat flux by 30%. An increase of the heat flux by 81% is found for a homogeneous ice distribution with the same total sea ice mass. A decrease of sea ice concentration from 97% to 75% increases the average surface heat flux by 44%. Thus, for the forecast of average surface heat fluxes during a cyclone passage the knowledge of the sea ice distribution is more relevant than the knowledge of the cyclone track. The break up of sea ice distant from the ice edge might trigger the development of enhanced baroclinicity over ice covered regions and, thus, favour conditions for a mesocyclone intensification. The mesocyclone development is mainly determined by intensification at the ice edge resulting from enhanced surface heat fluxes and horizontal temperature gradients in that region. If the cyclone moves over densely ice covered regions the central pressure is up to 6 hPa higher than when it passes close to the ice edge. A homogeneous sea ice cover leads to a maximum pressure difference of 4 hPa. A 22% reduction of sea ice concentration in the ice covered regions results in maximum pressure deviations of 2 hPa and an increase of the area averaged wind speed by 2 m s(-1). Thus, for the forecast of minimum central pressure and wind speed of a polar mesocyclone the cyclone track with respect to the ice distribution needs to be known. The actual pressure may be influenced by the cyclone passage itself by changing the sea ice distribution.</t>
  </si>
  <si>
    <t>CNR, Inst Atmospher Sci &amp; Climate, I-00133 Rome, Italy; Univ Hamburg, Inst Meteorol, D-2000 Hamburg, Germany</t>
  </si>
  <si>
    <t>Consiglio Nazionale delle Ricerche (CNR); Istituto di Scienze dell'Atmosfera e del Clima (ISAC-CNR); University of Hamburg</t>
  </si>
  <si>
    <t>Dierer, S (corresponding author), CNR, Inst Atmospher Sci &amp; Climate, Via Fosso Cavaliere 100, I-00133 Rome, Italy.</t>
  </si>
  <si>
    <t>Silke.dierer@ifa.rm.cnr.it</t>
  </si>
  <si>
    <t>GEBRUDER BORNTRAEGER</t>
  </si>
  <si>
    <t>JOHANNESSTR 3A, D-70176 STUTTGART, GERMANY</t>
  </si>
  <si>
    <t>0941-2948</t>
  </si>
  <si>
    <t>METEOROL Z</t>
  </si>
  <si>
    <t>Meteorol. Z.</t>
  </si>
  <si>
    <t>10.1127/0941-2948/2005/0077</t>
  </si>
  <si>
    <t>009OW</t>
  </si>
  <si>
    <t>WOS:000235122700011</t>
  </si>
  <si>
    <t>Fuoco, R; Giannarelli, S; Onor, M; Ceccarini, A; Carli, V</t>
  </si>
  <si>
    <t>Optimized cleanup methods of organic extracts for the determination of organic pollutants in biological samples</t>
  </si>
  <si>
    <t>MICROCHEMICAL JOURNAL</t>
  </si>
  <si>
    <t>11th Italian-Hungarian Symposium on Spectrochemistry</t>
  </si>
  <si>
    <t>OCT 20-24, 2003</t>
  </si>
  <si>
    <t>Venice, ITALY</t>
  </si>
  <si>
    <t>cleanup; organic extract; silica gel-alumina</t>
  </si>
  <si>
    <t>POLYCYCLIC AROMATIC-HYDROCARBONS; SUPERCRITICAL-FLUID EXTRACTION; DIBENZO-P-DIOXINS; LIQUID-CHROMATOGRAPHIC DETERMINATION; SOLID-PHASE EXTRACTION; CLOUD POINT EXTRACTION; POLYCHLORINATED-BIPHENYLS; GAS-CHROMATOGRAPHY; PESTICIDE-RESIDUES; CHLORINATED PESTICIDES</t>
  </si>
  <si>
    <t>The analytical performances of various adsorbents used to clean up an organic extract of biological samples, particularly for the determination of polycyclic aromatic hydrocarbons (PAHs), polychlorobiphenyls (PCBs), both in mussel tissue and in krill samples, are critically compared. DDT and its degradation products, namely DDE and DDD, are also considered. Silica gel, alumina, armnopropyl-silica, cyanopropyl-silica, florisil, graphitized nonporous carbon and silica gel-alumina mixture (3:1) were used for column chromatography cleanup in combination with modified supercritical CO2 as a mobile phase. Recovery and reproducibility were evaluated by analyzing standard solutions and standard reference materials containing various classes of pollutants. A silica gel-alumina mixture was found to be the most effective in the cleanup of organic extracts, allowing quantitative recoveries of all analytes to be obtained. Finally, the application of the optimized procedure to the determination of PCBs in Antarctic krill samples is presented. (C) 2004 Elsevier B.V. All rights reserved.</t>
  </si>
  <si>
    <t>Univ Pisa, Dept Chem &amp; Ind Chem, I-56126 Pisa, Italy</t>
  </si>
  <si>
    <t>Univ Pisa, Dept Chem &amp; Ind Chem, Via Risorgimento,35, I-56126 Pisa, Italy.</t>
  </si>
  <si>
    <t>Onor, Massimo/A-4382-2012; Onor, Massimo/GRS-8136-2022; Ceccarini, Alessio/F-8556-2013</t>
  </si>
  <si>
    <t>Onor, Massimo/0000-0003-3023-1072; GIANNARELLI, STEFANIA/0000-0003-0052-0105</t>
  </si>
  <si>
    <t>0026-265X</t>
  </si>
  <si>
    <t>1095-9149</t>
  </si>
  <si>
    <t>MICROCHEM J</t>
  </si>
  <si>
    <t>Microchem J.</t>
  </si>
  <si>
    <t>10.1016/j.microc.2004.06.009</t>
  </si>
  <si>
    <t>896AN</t>
  </si>
  <si>
    <t>WOS:000226907100014</t>
  </si>
  <si>
    <t>Corsolini, S; Ademollo, N; Romeo, T; Greco, S; Focardi, S</t>
  </si>
  <si>
    <t>Persistent organic pollutants in edible fish: a human and environmental health problem</t>
  </si>
  <si>
    <t>persistent organic pollutants; edible fish; polychlorobiphenyls; TEQs; TWI</t>
  </si>
  <si>
    <t>POLYCHLORINATED-BIPHENYLS PCBS; TUNA THUNNUS-THYNNUS; DIBENZOFURANS PCDFS; XIPHIAS-GLADIUS; SWORDFISH; DOLPHINS; DIOXINS; PCDDS; FOOD</t>
  </si>
  <si>
    <t>Many persistent organic pollutants (POPs) pose serious health hazards to both the environment and human. Among these, polychlorobiphenyls (PCBs) are probable human carcinogens and can also pose non-cancer health hazards to intellectual functions and the nervous, immune and reproductive systems. The risks and hazards associated with POP residues in tissues are a function of the dioxin-like compound toxicity and an individual's exposure. Fish consumption might become a serious problem because of bioaccumulation as revealed in many studies worldwide. We report data concerning the accumulation and pattern of hexachlorobenzene (HCB), p,p'-DDE and PCBs in edible tissues of commercial fish species (bluefin tuna Thunnus thynnus, swordfish Xiphias gladius, Atlantic mackerel Scomber scombrus) from Italian Seas and of the Antarctic toothfish Dissostichus mawsoni from the Ross Sea (Antarctica). The species analyzed are part of the human diet. 2,3,7,8-TCDD toxic equivalents (TEQs) and tolerable weekly intake (TWI) were also calculated to evaluate the toxic hazard for the population that include them in their diet. Gaschromatography revealed 0.16 +/- 0.24 and 0.4 +/- 0.2 ng/g wet wt of HCB in Antarctic toothfish and bluefin tuna, respectively. p,p'-DDE concentrations were 38 +/- 29 and 31 +/- 38 ng/g wet wt in swordfish and bluefin tuna muscle, respectively, and 0.66 +/- 0.57 ng/g wet wt in the Antarctic toothfish. PCBs showed higher concentrations and they were 89 +/- 82, 80 +/- 86 and 5.2 +/- 4.0 ng/g wet wt in the muscle of swordfish, bluefin tuna and Antarctic toothfish, respectively. In Mediterranean fish, the most abundant congeners were the most persistent PCB numbers 153, 138, 180, 118 and 170, which accounted for 51% and 47% of the total PCB residue in tuna fish and swordfish, respectively, and 18% in the Antarctic toothfish. TEQs were 1.97 and 4.65 pg/g wet wt in bluefin tuna muscle and gonads, respectively, and 0.11 pg/g wet wt in Antarctic toothfish. The TEQ weekly intake was calculated and values ranged 197-465 Pg(TEQ)/week when consuming 100 g of Mediterranean fish and therefore lower than the recommended TWI Those values were higher (788-1860 Pg(TEQ)/week) than the recommended TWI, if 400 g of fish/week was consumed (with the exception of Antarctic fish). (C) 2004 Elsevier B.V. All rights reserved.</t>
  </si>
  <si>
    <t>Univ Siena, Dipartimento Sci Ambientali G Sarfatti, I-53100 Siena, Italy; ICRAM, Ist Cent Ric Appl Mare, Rome, Italy</t>
  </si>
  <si>
    <t>University of Siena</t>
  </si>
  <si>
    <t>Univ Siena, Dipartimento Sci Ambientali G Sarfatti, Via PA Mattioli 4, I-53100 Siena, Italy.</t>
  </si>
  <si>
    <t>corsolini@unisi.it</t>
  </si>
  <si>
    <t>ademollo, nicoletta/AAY-4811-2020; Corsolini, Simonetta/B-9460-2012; Romeo, Teresa/AAA-1711-2020</t>
  </si>
  <si>
    <t>Corsolini, Simonetta/0000-0002-9772-2362; Romeo, Teresa/0000-0001-8515-1964; Ademollo, nicoletta/0000-0002-1875-6530</t>
  </si>
  <si>
    <t>10.1016/j.microc.2004.10.006</t>
  </si>
  <si>
    <t>WOS:000226907100021</t>
  </si>
  <si>
    <t>Hilgen, F; Aziz, HA; Abels, H; Becker, J; Kuiper, K; Lourens, L; Meijer, P; Steenbrink, J; Tuenter, E; Van der Laan, E; Weber, N</t>
  </si>
  <si>
    <t>Berger, A; Ercegovac, M; Mesinger, F</t>
  </si>
  <si>
    <t>Hilgen, Frederik; Aziz, Hayfaa Abdul; Abels, Hemmo; Becker, Julia; Kuiper, Klaudia; Lourens, Lucas; Meijer, Paul; Steenbrink, Joris; Tuenter, Erik; Van der Laan, Erwin; Weber, Nanne</t>
  </si>
  <si>
    <t>Mediterranean neogene cyclostratigraphy and astrochronology: Recent progress and new developments</t>
  </si>
  <si>
    <t>MILUTIN MILANKOVITCH ANNIVERSARY SYMPOSIUM: PALEOCLIMATE AND THE EARTH CLIMATE SYSTEM</t>
  </si>
  <si>
    <t>SERBIAN ACADEMY OF SCIENCES AND ARTS, DEPARTMENT OF MATHEMATICS, PHYSICS AND GEO-SCIENCES</t>
  </si>
  <si>
    <t>International Symposium on Paleoclimate and the Earth Climate System</t>
  </si>
  <si>
    <t>AUG 30-SEP 02, 2004</t>
  </si>
  <si>
    <t>Serbian Acad Sci &amp; Arts, Belgrade, SERBIA MONTENEG</t>
  </si>
  <si>
    <t>Serbian Acad Sci &amp; Arts</t>
  </si>
  <si>
    <t>PTOLEMAIS NW GREECE; ASTRONOMICAL CALIBRATION; TIME-SCALE; INTEGRATED STRATIGRAPHY; INSOLATION QUANTITIES; POLLEN RECORD; PLIOCENE; MIOCENE; 40AR/39AR; CLIMATE</t>
  </si>
  <si>
    <t>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 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 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 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 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 Significant progress has been made during the last 5 years in the study of astronomical climate forcing in the Mediterranean Neogene and its application in building high-resolution astronomical tuned time scales. Using both marine and continental sections, the astronomical time scale for the Mediterranean has been extended back to 13.8 Ma; it underlies the younger part of the new standard geological time scale for the Neogene. The age calibration of this time scale is based entirely on astronomical tuning, using paleoclimatic records from the Mediterranean and equatorial Atlantic tuned to the new numerical La2004 solution. Attempts were made to numerically constrain values of dynamical ellipticity and tidal dissipation in the astronomical solution. These parameters, which affect the Earth-Moon system and hence the precession and obliquity frequencies, can not be calculated directly from the astronomical solution; their values must come from the geological record. This step is crucial for constructing time scales which can be used to exactly determine phase relations between astronomical forcing, climate response and registration in the sedimentary record. Following studies of the lignite-bearing successions in the Ptolemais Basin (Greece), continental successions in Spain were investigated for Milankovitch cyclicity. Integrated stratigraphic studies of lacustrine to distal alluvial fan/floodplain successions revealed the influence of precession, obliquity and eccentricity. The Orera section was astronomically tuned, allowing the extension of the astronomical polarity time scale back to 13 Ma. An attempt was further made to rigorously intercalibrate the 40Ar/39Ar and astronomical dating systems, preferably using single crystal sanidine ages of ash layers in astronomically dated sections. This study led to astronomically calibrated age estimates of 28.21 +/- 0.01 and 28.24 +/- 0.03 Ma for the Fish Canyon Tuff sanidine dating standard that are precise and about 200-kyr older than the, at present, most widely accepted age for that standard. Climate modeling of orbital extremes was used to investigate the origin of the precession and obliquity signal in the sapropels. The precession and obliquity influence may come from the African monsoon as a consequence of remote forcing mainly via summer heating of the Eurasian continent, and/or from the Atlantic system via enhanced autumn precipitation in the northern borderlands of the Mediterranean and reduced net evaporation over the basin. Although not decisive, sensitivity experiments with an ocean circulation model showed that changes in net evaporation are most effective in reducing surface water salinities in February, the time of the year that intermediate and deep water is formed in the Mediterranean. Finally, long-period astronomical cycles and sub-Milankovitch variability are recorded in the Mediterranean as well. The 2.4 myr eccentricity cycle is expressed in sapropel sequences while the 1.2 myr obliquity cycle may play a role in Antarctic ice growth events. Late Pleistocene piston cores revealed that Mediterranean climate and circulation changed in synchrony with the Heinrich events and Dansgaard-Oescher cycles, observed in the North Atlantic and in the Greenland ice cores. Sub-Milankovitch variability in Pliocene marine and continental successions is dominated by a 5-7 kyr cycle while a semi-precession cycle is much weaker or absent.</t>
  </si>
  <si>
    <t>Univ Utrecht, Dept Earth Sci, NL-3508 TC Utrecht, Netherlands</t>
  </si>
  <si>
    <t>Hilgen, F (corresponding author), Univ Utrecht, Dept Earth Sci, Budapestlaan 4, NL-3508 TC Utrecht, Netherlands.</t>
  </si>
  <si>
    <t>SERBIAN ACAD SCIENCES ARTS</t>
  </si>
  <si>
    <t>BELGRADE</t>
  </si>
  <si>
    <t>KNEZ MIHAILOVA ULICA 35, 11001 BELGRADE, SERBIA</t>
  </si>
  <si>
    <t>1451-2025</t>
  </si>
  <si>
    <t>SASA DEP MATH PHYS G</t>
  </si>
  <si>
    <t>Meteorology &amp; Atmospheric Sciences; Paleontology</t>
  </si>
  <si>
    <t>BEI64</t>
  </si>
  <si>
    <t>WOS:000237350000009</t>
  </si>
  <si>
    <t>Banerjee, M; Sharma, BD</t>
  </si>
  <si>
    <t>Mars terraformation: Role of antarctic cyanobacterial cryptoendoliths</t>
  </si>
  <si>
    <t>NATIONAL ACADEMY SCIENCE LETTERS-INDIA</t>
  </si>
  <si>
    <t>ecopoiesis; Chroococcidiopsis; red planet; extreme environments; phosphatase; ross desert</t>
  </si>
  <si>
    <t>MCMURDO DRY VALLEYS; COMMUNITIES; DIVERSITY; DESERT; LIFE</t>
  </si>
  <si>
    <t>A vast amount of research has been performed to understand the biological processes on earth. Unfortunately, most of it is not applicable to the ecopoiesis and terraforming of Mars. Several plans for ecopoiesis and terraformation of Mars have been speculated upon over the past several years. However most of these proposals tend to treat the biological processes involved as a black box in which energy and raw materials are put and products are received especially in a largely unknown environment without specific detail to organisms and ecosystems. Accurate predictions on the process can be possible only with specific details of Martian environment and proposed terraforming organisms. The purpose of this review is to provide it very basic outline of the processes needed for a viable Martian conmnunity and the role cryptoendolithic cyanobacteria like Chroococcidiopsis can play to establish a compatible community for further development of terrestrial life on Mars.</t>
  </si>
  <si>
    <t>Barkatullah Univ, Dept Biosci, Lab Algal Biotechnol, Bhopal, India</t>
  </si>
  <si>
    <t>Banerjee, M (corresponding author), Barkatullah Univ, Dept Biosci, Lab Algal Biotechnol, Bhopal, India.</t>
  </si>
  <si>
    <t>meenakshi_banerjee@indiatimes.com; debkumari@rediffmail.com</t>
  </si>
  <si>
    <t>Sharma, Benktesh D/J-6061-2012</t>
  </si>
  <si>
    <t>SPRINGER INDIA</t>
  </si>
  <si>
    <t>NEW DELHI</t>
  </si>
  <si>
    <t>7TH FLOOR, VIJAYA BUILDING, 17, BARAKHAMBA ROAD, NEW DELHI, 110 001, INDIA</t>
  </si>
  <si>
    <t>0250-541X</t>
  </si>
  <si>
    <t>2250-1754</t>
  </si>
  <si>
    <t>NATL ACAD SCI LETT</t>
  </si>
  <si>
    <t>Natl. Acad. Sci. Lett.-India</t>
  </si>
  <si>
    <t>948KX</t>
  </si>
  <si>
    <t>WOS:000230715800003</t>
  </si>
  <si>
    <t>Shapiro, MM; Stanev, T; Wefel, JP</t>
  </si>
  <si>
    <t>The AMANDA neutrino telescope</t>
  </si>
  <si>
    <t>Neutrinos and Explosive Events in the Universe</t>
  </si>
  <si>
    <t>NATO SCIENCE SERIES, SERIES II: MATHEMATICS, PHYSICS AND CHEMISTRY</t>
  </si>
  <si>
    <t>Conference of the NATO-Advanced-Study-Institute on Neutrinos and Explosive Events in the Universe</t>
  </si>
  <si>
    <t>JUL 02-13, 2004</t>
  </si>
  <si>
    <t>HIGH-ENERGY NEUTRINOS; SEARCH; CASCADES; DETECTOR; SPECTRA; BURSTS</t>
  </si>
  <si>
    <t>We present new results from the Antarctic Muon And Neutrino Detector Array (AMANDA), located at the South Pole in Antarctica. AMANDA-II, commissioned in 2000, is a multipurpose high energy neutrino telescope with a broad physics and astrophysics scope. We summarize the results from searches for a variety of sources of ultra-high energy neutrinos: TeV-PeV diffuse sources by measuring either muon tracks or cascades, neutrinos in excess of PeV by searching for muons traveling in the down-going direction, point Sources, neutrinos originating from GRBs, and dark matter in the center of the Earth or Sun.</t>
  </si>
  <si>
    <t>Silvestri, A (corresponding author), Univ Calif Irvine, Dept Phys &amp; Astron, 4129 Federick Reines Hall, Irvine, CA 92697 USA.</t>
  </si>
  <si>
    <t>PO BOX 17, 3300 AA DORDRECHT, NETHERLANDS</t>
  </si>
  <si>
    <t>1-4020-3746-5</t>
  </si>
  <si>
    <t>NATO SCI SER II MATH</t>
  </si>
  <si>
    <t>10.1007/1-4020-3748-1_20</t>
  </si>
  <si>
    <t>BDT15</t>
  </si>
  <si>
    <t>WOS:000235192500020</t>
  </si>
  <si>
    <t>ANITA COllaboration</t>
  </si>
  <si>
    <t>Status of ANITA and ANITA-lite</t>
  </si>
  <si>
    <t>NEUTRINOS AND EXPLOSIVE EVENTS IN THE UNIVERSE</t>
  </si>
  <si>
    <t>NATO Science Series II-Mathematics Physics and Chemistry</t>
  </si>
  <si>
    <t>high energy neutrinos; neutrino telescopes; neutrino astronomy; ANtarctic ice attenuation; GZK neutrinos; radio detection; ANITA</t>
  </si>
  <si>
    <t>ENERGY; SHOWERS; CHARGE</t>
  </si>
  <si>
    <t>We describe a new experiment to search for neutrinos with energies above 3 X 10(18) eV based on the observation of short duration radio pulses that are emitted from neutrino-initiated cascades. The primary objective of the ANtarctic Impulse Transient Antenna (ANITA) mission is to measure the flux of Greisen-Zatsepin-Kuzmin (GZK) neutrinos and search for neutrinos from Active Galactic Nuclei (AGN). We present first results obtained from the successful launch of a 2-antenna prototype instrument (called ANITA-lite) that circled Antarctica for 18 days during the 03/04 Antarctic campaign and show preliminary results from attenuation length studies of electromagnetic waves at radio frequencies in Antarctic ice. The ANITA detector is funded by NASA, and the first flight is scheduled for December 2006.</t>
  </si>
  <si>
    <t>Univ Calif Irvine, Dept Phys &amp; Astron, 4129 Federick Reines Hall, Irvine, CA 92697 USA.</t>
  </si>
  <si>
    <t>silvestri@HEP.ps.uci.edu</t>
  </si>
  <si>
    <t>Beatty, James/D-9310-2011</t>
  </si>
  <si>
    <t>Beatty, James/0000-0003-0481-4952</t>
  </si>
  <si>
    <t>1568-2609</t>
  </si>
  <si>
    <t>NATO SCI SER II-MATH</t>
  </si>
  <si>
    <t>10.1007/1-4020-3748-1_23</t>
  </si>
  <si>
    <t>WOS:000235192500023</t>
  </si>
  <si>
    <t>Chapman, SC; Hnat, B; Rowlands, G; Watkins, NW</t>
  </si>
  <si>
    <t>Scaling collapse and structure functions: identifying self-affinity in finite length time series</t>
  </si>
  <si>
    <t>NONLINEAR PROCESSES IN GEOPHYSICS</t>
  </si>
  <si>
    <t>AURORAL ELECTROJET INDEX; SOLAR-WIND; AE-INDEX; ORGANIZED CRITICALITY; FLUCTUATIONS; DYNAMICS</t>
  </si>
  <si>
    <t>Empirical determination of the scaling properties and exponents of time series presents a formidable challenge in testing, and developing, a theoretical understanding of turbulence and other out-of-equilibrium phenomena. We discuss the special case of self affine time series in the context of a stochastic process. We highlight two complementary approaches to the differenced variable of the data: i) attempting a scaling collapse of the Probability Density Functions which should then be well described by the solution of the corresponding Fokker-Planck equation and ii) using structure functions to determine the scaling properties of the higher order moments. We consider a method of conditioning that recovers the underlying self affine scaling in a finite length time series, and illustrate it using a Levy flight.</t>
  </si>
  <si>
    <t>Univ Warwick, Coventry CV4 7AL, W Midlands, England; British Antarctic Survey, NERC, Cambridge CB3 0ET, England</t>
  </si>
  <si>
    <t>University of Warwick; UK Research &amp; Innovation (UKRI); Natural Environment Research Council (NERC); NERC British Antarctic Survey</t>
  </si>
  <si>
    <t>Univ Warwick, Coventry CV4 7AL, W Midlands, England.</t>
  </si>
  <si>
    <t>sandrac@astro.warwick.ac.uk</t>
  </si>
  <si>
    <t>Watkins, Nick/GPX-7439-2022; Watkins, Nicholas Wynn/C-5140-2008; Chapman, Sandra/C-2216-2008</t>
  </si>
  <si>
    <t>Watkins, Nick/0000-0003-4484-6588; Watkins, Nicholas Wynn/0000-0003-4484-6588; Chapman, Sandra/0000-0003-0053-1584</t>
  </si>
  <si>
    <t>1023-5809</t>
  </si>
  <si>
    <t>1607-7946</t>
  </si>
  <si>
    <t>NONLINEAR PROC GEOPH</t>
  </si>
  <si>
    <t>Nonlinear Process Geophys.</t>
  </si>
  <si>
    <t>10.5194/npg-12-767-2005</t>
  </si>
  <si>
    <t>Geosciences, Multidisciplinary; Mathematics, Interdisciplinary Applications; Meteorology &amp; Atmospheric Sciences; Physics, Fluids &amp; Plasmas</t>
  </si>
  <si>
    <t>Geology; Mathematics; Meteorology &amp; Atmospheric Sciences; Physics</t>
  </si>
  <si>
    <t>004JR</t>
  </si>
  <si>
    <t>WOS:000234749600001</t>
  </si>
  <si>
    <t>Kuehn, K</t>
  </si>
  <si>
    <t>The search for muon neutrinos from gamma-ray bursts with AMANDA B-10 and AMANDA-II</t>
  </si>
  <si>
    <t>8th International Workshop on Topics in Astroparticle and Underground Physics</t>
  </si>
  <si>
    <t>SEP 05-09, 2003</t>
  </si>
  <si>
    <t>Seattle, WA</t>
  </si>
  <si>
    <t>HIGH-ENERGY NEUTRINOS</t>
  </si>
  <si>
    <t>Gamma-ray bursts have been observed for more than three decades and, yet, much about their nature remains a mystery. Here we describe the results of the ongoing search for high-energy union neutrinos from gamma-ray bursts with the Antarctic Muon and Neutrino Detector Array (AMANDA). Current results are consistent with no neutrino emission; thus preliminary upper limits are derived for the event rate, four-year combined flux, and single-year fluence. We also address plans for improving these limits in the future.</t>
  </si>
  <si>
    <t>Univ Calif Irvine, Dept Phys &amp; Astron, Irvine, CA 92697 USA.</t>
  </si>
  <si>
    <t>10.1016/j.nuclphysbps.2004.11.040</t>
  </si>
  <si>
    <t>895FA</t>
  </si>
  <si>
    <t>WOS:000226845100040</t>
  </si>
  <si>
    <t>Grant, SM</t>
  </si>
  <si>
    <t>The applicability of international conservation instruments to the establishment of marine protected areas in Antarctica</t>
  </si>
  <si>
    <t>OCEAN &amp; COASTAL MANAGEMENT</t>
  </si>
  <si>
    <t>This paper reviews the international conservation treaties, non-binding agreements and other instruments that have relevance to marine protected area (MPA) development in Antarctica. Many of these provide for action to be taken globally, thus including Antarctica within the scope of a worldwide system of MPAs. However, depending on their specific provisions, full application in Antarctic waters may be difficult, inappropriate or even impossible because of the area's unique political situation, existing regimes and differing positions of principle between claimant and nonclaimant States with regard to the existence of territorial sovereignty and corresponding maritime zones. It is concluded that although direct application of other international conservation agreements is in most cases unlikely to be feasible, efforts should be made to apply within the Antarctic Treaty System certain principles and requirements agreed under instruments with global purview. These include the formulation of guidelines and criteria for MPA establishment, the consideration of marine protection as a separate, but linked, issue to protection of other environments, and the development of more specific guidelines on the timeframe in which these should take place. (c) 2005 Elsevier Ltd. All rights reserved.</t>
  </si>
  <si>
    <t>smg40@cam.ac.uk</t>
  </si>
  <si>
    <t>0964-5691</t>
  </si>
  <si>
    <t>1873-524X</t>
  </si>
  <si>
    <t>OCEAN COAST MANAGE</t>
  </si>
  <si>
    <t>Ocean Coastal Manage.</t>
  </si>
  <si>
    <t>10.1016/j.ocecoaman.2005.08.004</t>
  </si>
  <si>
    <t>Oceanography; Water Resources</t>
  </si>
  <si>
    <t>992QP</t>
  </si>
  <si>
    <t>WOS:000233899200008</t>
  </si>
  <si>
    <t>Weijer, W</t>
  </si>
  <si>
    <t>High-frequency wind forcing of a channel model of the ACC: normal mode excitation</t>
  </si>
  <si>
    <t>OCEAN MODELLING</t>
  </si>
  <si>
    <t>barotropic mode; topographic waves; oceanic response; wind stress; atmospheric forcing</t>
  </si>
  <si>
    <t>ANTARCTIC CIRCUMPOLAR CURRENT; DRAKE PASSAGE; ATMOSPHERIC DISTURBANCES; OCEAN RESPONSE; PACIFIC-OCEAN; ROSSBY WAVES; PRESSURE; SEA; OSCILLATIONS; VARIABILITY</t>
  </si>
  <si>
    <t>The response of the Antarctic circumpolar circulation to wind stress variability is studied in a simple model of the Southern Ocean. The model consists of a zonally reentrant channel with mid-ocean barrier, forced by surface heat flux and stochastic wind stress. The MITgcm code is used to solve for temperature, sea level, and the velocity field. The channel transport responds actively to the stochastic wind forcing through the excitation of several eigenmodes. The fundamental basin mode is excited, which has a period of about 20 days. However, the response is dominated by a topographic mode with a period of 3 days. This barotropic mode is related primarily to topographic Rossby waves propagating on the submarine sill. and Kelvin waves propagating westward on the southern boundary. The mode shares characteristics with numerical predictions of normal modes in the Southern Ocean, as well as with recently observed modes of variability around Antarctica, with periods between 1 and 2 days. These results show that both topographic normal modes, and Rossby basin modes can play a role in the adjustment of the ACC to high-frequency wind stress variability. The presence of the resonance in the system leads to interesting phase behavior between the wind stress forcing and the ocean transport: for a considerable frequency range. the transport seems to lead the wind stress variability. This shows that the classical notion of transport passively lagging wind forcing is inadequate when eigenmodes are excited. (C) 2004 Elsevier Ltd. All rights reserved.</t>
  </si>
  <si>
    <t>Scripps Inst Oceanog, Phys Oceanog Res Div, La Jolla, CA 92093 USA</t>
  </si>
  <si>
    <t>Weijer, W (corresponding author), Scripps Inst Oceanog, Phys Oceanog Res Div, La Jolla, CA 92093 USA.</t>
  </si>
  <si>
    <t>wweijer@ucsd.edu</t>
  </si>
  <si>
    <t>Weijer, Wilbert/A-7909-2010; Weijer, Wilbert/AAT-3247-2021</t>
  </si>
  <si>
    <t>Weijer, Wilbert/0000-0002-5654-562X; Weijer, Wilbert/0000-0002-5654-562X</t>
  </si>
  <si>
    <t>1463-5003</t>
  </si>
  <si>
    <t>OCEAN MODEL</t>
  </si>
  <si>
    <t>Ocean Model.</t>
  </si>
  <si>
    <t>10.1016/j.ocemod.2004.04.001</t>
  </si>
  <si>
    <t>889HF</t>
  </si>
  <si>
    <t>WOS:000226433400003</t>
  </si>
  <si>
    <t>Thorpe, SE; Stevens, DP; Heywood, KJ</t>
  </si>
  <si>
    <t>Comparison of two time-variant forced eddy-permitting global ocean circulation models with hydrography of the Scotia Sea</t>
  </si>
  <si>
    <t>numerical ocean model; high resolution; hydrography; OCCAM; POCM; South Atlantic; southern ocean; Scotia Sea [50-65 degrees S, 65-30 degrees W]</t>
  </si>
  <si>
    <t>ANTARCTIC CIRCUMPOLAR CURRENT; SOUTHERN-OCEAN; WATER MASSES; WEDDELL SEA; GENERAL-CIRCULATION; PACIFIC-OCEAN; DRAKE PASSAGE; VARIABILITY; PARAMETERIZATION; GEORGIA</t>
  </si>
  <si>
    <t>A comparison between hydrographic observations and output from two realistically forced z-level global ocean circulation models (OCCAM and POCM_4C) in the Scotia Sea, South Atlantic, is described. The study region includes the southern part of the Antarctic Circumpolar Current (ACC) and the northern Weddell Gyre. Despite similar formulations, the models have different strengths and weaknesses. OCCAM simulates well the horizontal circulation around South Georgia but loss of Antarctic Bottom Water distorts the mean circulation in the central Scotia Sea. A poorer bathymetric dataset in POCM_4C means that the circulation is not adequately topographically steered leading to greater zonal flow and a southward shift of the fronts of the southern ACC. In a comparison with sea surface height variability data, OCCAM overestimates and POCM_4C underestimates the maximum values. Both models have higher background variability than the satellite data. Mean monthly model output is compared with a meridional hydrographic section from the study region. The regional water masses at the time of the hydrographic section (April 1995) are recognisably reproduced in both models despite some discrepancies. The surface waters are too saline in OCCAM (by 0.12-0.40) and too warm in POCM_4C (by &gt;2 degreesC) suggesting problems with the airsea surface heat and freshwater fluxes used to force both models and the models' vertical mixing parameterisations. Anomalous mixed layer properties in winter lead to inaccurate Winter Water characteristics in both models. Slumping of Circumpolar Deep Water occurs in OCCAM, associated with the loss of the bottom water. Subsurface restoration to climatology at buffer zones prevents this slumping in POCM_4C although the densest waters are not reproduced. The models overestimate the baroclinic transport of the section by up to a factor of two and simulate a significant barotropic component of transport. Overall, both models can be used in this region in ways that utilise their strengths. Further improvements are likely to come from better bathymetric representations, surface fluxes, and bottom water formation processes, elimination of spurious diapycnal mixing, improvement of vertical mixing parameterisations, and higher resolution. (C) 2004 Elsevier Ltd. All rights reserved.</t>
  </si>
  <si>
    <t>British Antarctic Survey, NERC, Cambridge CB3 0ET, England; Univ E Anglia, Sch Environm Sci, Norwich NR4 7TJ, Norfolk, England; Univ E Anglia, Sch Math, Norwich NR4 7TJ, Norfolk, England</t>
  </si>
  <si>
    <t>UK Research &amp; Innovation (UKRI); Natural Environment Research Council (NERC); NERC British Antarctic Survey; University of East Anglia; University of East Anglia</t>
  </si>
  <si>
    <t>seth@bas.ac.uk</t>
  </si>
  <si>
    <t>; Stevens, David/F-2509-2010; Heywood, Karen/L-1757-2016</t>
  </si>
  <si>
    <t>Thorpe, Sally/0000-0002-5193-6955; Stevens, David/0000-0002-7283-4405; Heywood, Karen/0000-0001-9859-0026</t>
  </si>
  <si>
    <t>1463-5011</t>
  </si>
  <si>
    <t>10.1016/j.ocemod.2004.04.004</t>
  </si>
  <si>
    <t>897OO</t>
  </si>
  <si>
    <t>WOS:000227014700001</t>
  </si>
  <si>
    <t>Timmermann, R; Goosse, H; Madec, G; Fichefet, T; Ethe, C; Dulière, V</t>
  </si>
  <si>
    <t>On the representation of high latitude processes in the ORCA-LIM global coupled sea ice-ocean model</t>
  </si>
  <si>
    <t>ARCTIC-OCEAN; HIGH-RESOLUTION; VARIABILITY; WATER; CIRCULATION; TRANSPORT; FLUX; SENSITIVITY; TOPOGRAPHY; SIMULATION</t>
  </si>
  <si>
    <t>The dynamic thermodynamic Louvain-la-Neuve sea ice model (LIM) has been coupled to the OPA primitive equation ocean general circulation model. In the ORCA2-LIM configuration, the model is run on a global domain with 2degrees mean resolution. Model runs are forced with a combined dataset consisting of daily NCEP/NCAR reanalysis data and various climatologies. The model's performance is evaluated with respect to the representation of sea ice and the high latitude oceans. The annual cycle of sea ice growth and decay is realistically captured in both hemispheres, with ice extent, thickness and drift in close agreement with observations. The location of the main sites of deep convection (Labrador and Greenland Seas; continental shelves of marginal seas of the Southern Ocean) is well reproduced. Model deficiencies include a slight overestimation of summer ice extent in the Arctic, and a significant underestimation of multi-year ice in the Weddell Sea. Furthermore, the width of the Arctic Ocean Boundary Current and the Antarctic Circumpolar Current is overestimated. Sensitivity studies indicate that the use of the combined forcing dataset is crucial to achieve a reasonable summer sea ice coverage and that the direct use of the NCEP/NCAR wind stress data leads to an overestimation of sea ice drift velocities. A restoring of sea surface salinity is necessary to avoid spurious open ocean convection in the Weddell Sea. (C) 2004 Elsevier Ltd. All rights reserved.</t>
  </si>
  <si>
    <t>Catholic Univ Louvain, Inst Astron &amp; Geophys Georges Lemaitre, B-1348 Louvain, Belgium; LODYC, F-75252 Paris, France</t>
  </si>
  <si>
    <t>Universite Catholique Louvain</t>
  </si>
  <si>
    <t>Stiftung Alfred Wegener Inst Polar &amp; Meeresforsch, Postfach 12 01 61, D-27515 Bremerhaven, Germany.</t>
  </si>
  <si>
    <t>rtimmermann@awi-bremerhaven.de</t>
  </si>
  <si>
    <t>madec, gurvan/E-7825-2010</t>
  </si>
  <si>
    <t>madec, gurvan/0000-0002-6447-4198; , Valerie/0000-0003-3480-8166</t>
  </si>
  <si>
    <t>10.1016/j.ocemod.2003.12.009</t>
  </si>
  <si>
    <t>862TX</t>
  </si>
  <si>
    <t>WOS:000224515100008</t>
  </si>
  <si>
    <t>Griffies, SM; Gnanadesikan, A; Dixon, KW; Dunne, JP; Gerdes, R; Harrison, MJ; Rosati, A; Russell, JL; Samuels, BL; Spelman, MJ; Winton, M; Zhang, R</t>
  </si>
  <si>
    <t>Griffies, S. M.; Gnanadesikan, A.; Dixon, K. W.; Dunne, J. P.; Gerdes, R.; Harrison, M. J.; Rosati, A.; Russell, J. L.; Samuels, B. L.; Spelman, M. J.; Winton, M.; Zhang, R.</t>
  </si>
  <si>
    <t>Formulation of an ocean model for global climate simulations</t>
  </si>
  <si>
    <t>OCEAN SCIENCE</t>
  </si>
  <si>
    <t>ANTARCTIC BOTTOM WATER; ROTATED DIFFUSION OPERATORS; ISONEUTRAL DIFFUSION; TRACER TRANSPORTS; NUMERICAL-MODEL; CIRCULATION; SENSITIVITY; PARAMETERIZATION; REPRESENTATION; VARIABILITY</t>
  </si>
  <si>
    <t>This paper summarizes the formulation of the ocean component to the Geophysical Fluid Dynamics Laboratory's (GFDL) climate model used for the 4th IPCC Assessment (AR4) of global climate change. In particular, it reviews the numerical schemes and physical parameterizations that make up an ocean climate model and how these schemes are pieced together for use in a state-of-the-art climate model. Features of the model described here include the following: (1) tripolar grid to resolve the Arctic Ocean without polar filtering, (2) partial bottom step representation of topography to better represent topographically influenced advective and wave processes, (3) more accurate equation of state, (4) three-dimensional flux limited tracer advection to reduce overshoots and undershoots, (5) incorporation of regional climatological variability in shortwave penetration, (6) neutral physics parameterization for representation of the pathways of tracer transport, (7) staggered time stepping for tracer conservation and numerical efficiency, (8) anisotropic horizontal viscosities for representation of equatorial currents, (9) parameterization of exchange with marginal seas, (10) incorporation of a free surface that accomodates a dynamic ice model and wave propagation, (11) transport of water across the ocean free surface to eliminate unphysical virtual tracer flux methods, (12) parameterization of tidal mixing on continental shelves. We also present preliminary analyses of two particularly important sensitivities isolated during the development process, namely the details of how parameterized subgridscale eddies transport momentum and tracers.</t>
  </si>
  <si>
    <t>[Griffies, S. M.; Gnanadesikan, A.; Dixon, K. W.; Dunne, J. P.; Harrison, M. J.; Rosati, A.; Samuels, B. L.; Spelman, M. J.; Winton, M.] NOAA, Geophys Fluid Dynam Lab, Princeton, NJ USA; [Gerdes, R.] Alfred Wegener Inst Polar &amp; Marine Res, Bremerhaven, Germany; [Russell, J. L.; Zhang, R.] Program Atmospher &amp; Ocean Sci, Princeton, NJ USA</t>
  </si>
  <si>
    <t>National Oceanic Atmospheric Admin (NOAA) - USA; Helmholtz Association; Alfred Wegener Institute, Helmholtz Centre for Polar &amp; Marine Research; National Oceanic Atmospheric Admin (NOAA) - USA</t>
  </si>
  <si>
    <t>Griffies, SM (corresponding author), NOAA, Geophys Fluid Dynam Lab, Princeton, NJ USA.</t>
  </si>
  <si>
    <t>stephen.griffies@noaa.gov</t>
  </si>
  <si>
    <t>Zhang, Rong/D-9767-2014; Griffies, Stephen Matthew/N-9144-2019; Gnanadesikan, Anand/A-2397-2008; Dunne, John/F-8086-2012; Dixon, Keith/L-7120-2015</t>
  </si>
  <si>
    <t>Zhang, Rong/0000-0002-8493-6556; Griffies, Stephen Matthew/0000-0002-3711-236X; Dunne, John/0000-0002-8794-0489; Dixon, Keith/0000-0003-3044-326X; Gnanadesikan, Anand/0000-0001-5784-1116; Russell, Joellen/0000-0001-9937-6056</t>
  </si>
  <si>
    <t>1812-0784</t>
  </si>
  <si>
    <t>OCEAN SCI</t>
  </si>
  <si>
    <t>Ocean Sci.</t>
  </si>
  <si>
    <t>10.5194/os-1-45-2005</t>
  </si>
  <si>
    <t>V25NO</t>
  </si>
  <si>
    <t>WOS:000208484900006</t>
  </si>
  <si>
    <t>Lefebvre, W; Goosse, H</t>
  </si>
  <si>
    <t>Lefebvre, W.; Goosse, H.</t>
  </si>
  <si>
    <t>Influence of the Southern Annular Mode on the sea ice-ocean system: the role of the thermal and mechanical forcing</t>
  </si>
  <si>
    <t>The global sea ice-ocean model ORCA2-LIM is used to investigate the impact of the thermal and mechanical forcing associated with the Southern Annular Mode (SAM) on the Antarctic sea ice-ocean system. The model is driven by idealized forcings based on regressions between the wind stress and the air temperature at one hand and the SAM index the other hand. The wind-stress component strongly affects the overall patterns of the ocean circulation with a northward surface drift, a downwelling at about 45 degrees S and an upwelling in the vicinity of the Antarctic continent when the SAM is positive. On the other hand, the thermal forcing has a negligible effect on the ocean currents. For sea ice, both the wind-stress (mechanical) and the air temperature (thermal) components have a significant impact. The mechanical part induces a decrease of the sea ice thickness close to the continent and a sharp decrease of the mean sea ice thickness in the Weddell sector. In general, the sea ice area also diminishes, with a maximum decrease in the Weddell Sea. On the contrary, the thermal part tends to increase the ice concentration in all sectors except in the Weddell Sea, where the ice area shrinks. This thermal effect is the strongest in autumn and in winter due to the larger temperature differences associated with the SAM during these seasons. The sum of the thermal and mechaninal effects gives a dipole response of sea ice to the SAM, with a decrease of the ice area in the Weddell Sea and around the Antarctic Peninsula and an increase in the Ross and Amundsen Seas during high SAM years. This is in good agreement with the observed response of the ice cover to the SAM.</t>
  </si>
  <si>
    <t>[Lefebvre, W.; Goosse, H.] Catholic Univ Louvain, Inst Astron &amp; Geophys &amp; Georges Lemaitre, Louvain, Belgium</t>
  </si>
  <si>
    <t>Lefebvre, W (corresponding author), Catholic Univ Louvain, Inst Astron &amp; Geophys &amp; Georges Lemaitre, Louvain, Belgium.</t>
  </si>
  <si>
    <t>lefebvre@astr.ucl.ac.be</t>
  </si>
  <si>
    <t>Lefebvre, Wouter/F-5610-2015</t>
  </si>
  <si>
    <t>Lefebvre, Wouter/0000-0002-3277-3118</t>
  </si>
  <si>
    <t>Federal Science Policy Office (Belgium) [EV/10/7D, EV/10/9A]; French Ministry of Research. H. Goosse is Research Associate; Belgian National Fund for Scientific Research</t>
  </si>
  <si>
    <t>Federal Science Policy Office (Belgium)(Belgian Federal Science Policy Office); French Ministry of Research. H. Goosse is Research Associate; Belgian National Fund for Scientific Research(Fonds de la Recherche Scientifique - FNRS)</t>
  </si>
  <si>
    <t>This study is supported by the Federal Science Policy Office (Belgium) (contracts EV/10/7D and EV/10/9A) and the Action Concertee Incitative Changement Climatique (Project Changement Climatique et Cryosphere) from the French Ministry of Research. H. Goosse is Research Associate with the Belgian National Fund for Scientific Research. The NCEP-NCAR reanalysis data were provided through the NOAA-CIRES Climate Diagnostics Center, Boulder.</t>
  </si>
  <si>
    <t>10.5194/os-1-145-2005</t>
  </si>
  <si>
    <t>V25NQ</t>
  </si>
  <si>
    <t>WOS:000208485100001</t>
  </si>
  <si>
    <t>McGillivary, P; D'Spain, G; Boyd, T; Doolittle, D; Vogel, S; Schenke, HW</t>
  </si>
  <si>
    <t>McGillivary, Phil; D'Spain, Gerald; Boyd, Tim; Doolittle, Daniel; Vogel, Stefan; Schenke, Hans-Werner</t>
  </si>
  <si>
    <t>AUVs for ANSWRS - ANtarctic Studies of the Western Ross Sea</t>
  </si>
  <si>
    <t>OCEANS 2005, VOLS 1-3</t>
  </si>
  <si>
    <t>OCEANS-IEEE</t>
  </si>
  <si>
    <t>Oceans 2005 Conference</t>
  </si>
  <si>
    <t>SEP 17-23, 2005</t>
  </si>
  <si>
    <t>Washington, DC</t>
  </si>
  <si>
    <t>OCEAN CIRCULATION BENEATH; ICE SHELF; MODEL</t>
  </si>
  <si>
    <t>Several top priority research needs in the Western Ross Sea, Antarctica, can best or only be achieved by use of currently available autonomous underwater vehicles (AUVs). These include further exploration, ecological studies, and monitoring of recently discovered underwater volcanic vents in shallow (@200m) waters near Franklin Island, which can be used as a test-bed for Antarctic AUV work prior to more complex studies. These vents may provide habitat for communities with a variety of new species, and affect dominant phytoplankton species by providing iron, which strongly affects phytoplankton composition. Following these studies, there is a great need to understand further the ongoing processes involved in the existence and changes in rifts and nascent icebergs of the Ross Ice Shelf. One of these rifts extends out to open water, so initial studies with an AUV will not have to extend far underneath the Ice Shelf, but will provide the first data on the expression of these saltwater-filled rifts on the underside of the Ice Shelf, and provide a baseline for monitoring their expansion over time. Finally, the entire area underneath the Ross Ice Shelf remains the largest unexplored area on the face of the earth. There is a need to collect both bathymetric data under this ice shelf, as well as profiling the underside of the Ice Shelf itself. These data can only be collected by AUV. With experience in the first two areas of study, confidence can be gained to explore under the Ross Ice Shelf. Data collection on bathymetry can also include studies of prior iceberg scour to obtain a perspective on the historical dynamics of the Ice Shelf. AUV video can provide initial data on biological communities associated with these environments. Plans by others to drill a borehole near the grounding line would allow placement of an acoustic or other locator beacon at this location which could provide for more accurate navigation and bathymetric charting, as well as an opportunity for the AUV to re-power itself to permit further exploration of the grounding zone region. As the last major unexplored region on earth, and an area whose dynamics have in the past profoundly affected global climate, it is time to proceed with AUV studies in Antarctica directed toward a better understanding of the marine environment, and the Ross Ice Shelf specifically. Planning and methods for these explorations are discussed in relation to the International Polar Year priorities of the Biology Working Group of the UN Science Committee on Antarctic Research, and the International Bathymetric Charting of the Southern Ocean (IBCSO) project.</t>
  </si>
  <si>
    <t>US Coast Guard Icebreaker Operat, Alameda, CA USA</t>
  </si>
  <si>
    <t>McGillivary, P (corresponding author), US Coast Guard Icebreaker Operat, Alameda, CA USA.</t>
  </si>
  <si>
    <t>Vogel, Stefan/I-1963-2014</t>
  </si>
  <si>
    <t>Vogel, Stefan/0000-0002-4350-7130</t>
  </si>
  <si>
    <t>0197-7385</t>
  </si>
  <si>
    <t>0-933957-34-3</t>
  </si>
  <si>
    <t>BEQ88</t>
  </si>
  <si>
    <t>WOS:000238978701057</t>
  </si>
  <si>
    <t>Field, IC; Bradshaw, CJA; Burton, HR; Sumner, MD; Hindell, MA</t>
  </si>
  <si>
    <t>Resource partitioning through oceanic segregation of foraging juvenile southern elephant seals (Mirounga leonina)</t>
  </si>
  <si>
    <t>intra-specific competition; niche; ontogeny; phocid</t>
  </si>
  <si>
    <t>GALAPAGOS MARINE IGUANAS; BODY-SIZE; MACQUARIE ISLAND; DIVING BEHAVIOR; PHOCA-VITULINA; AGE; ECOLOGY; ZONES; SEX; DETERMINANTS</t>
  </si>
  <si>
    <t>In highly dynamic and unpredictable environments such as the Southern Ocean, species that have evolved behaviors that reduce the effects of intra-specific competition may have a selective advantage. This is particularly true when juveniles face disadvantages when foraging due to morphological or physiological limitation, which is the case for many marine mammals. We tracked the at-sea movements of 48 juvenile southern elephant seals (Mirounga leonina) between the ages of 1 and 4 years from the population at Macquarie Island using locations derived from recorded light levels. There were significant differences in the total amount of the Southern Ocean covered by the different age-groups. The younger seals used a smaller area than the older seals. On average, the younger individuals also made more trips to sea than the older seals and did not travel as far on each trip. Females spent more time at sea than males and there were no significant differences between the total areas used by male and females. In summary, younger seals remained closer to the island at all times, and they spent more time in more northerly regions that older seals. These differences in behavior created temporal and spatial segregation between juveniles of different ages. Therefore, we suggest that these temporal and spatial separations help to avoid intra-specific competition for resources on land, space on beaches, and at-sea foraging areas. Such modifications of haul-out timing and behavior enable them to exploit a patchy and unpredictable environment.</t>
  </si>
  <si>
    <t>Sch Zool, Antarctic Wildlife Res Unit, Hobart, Tas 7001, Australia; Australian Antarctic Div, Kingston, Tas 7050, Australia; Charles Darwin Univ, Key Ctr Trop Wildlife Management, Darwin, NT 0909, Australia; Univ Tasmania, Inst Antarctic &amp; So Ocean Studies, Hobart, Tas 7001, Australia</t>
  </si>
  <si>
    <t>Australian Antarctic Division; Charles Darwin University; University of Tasmania</t>
  </si>
  <si>
    <t>Field, IC (corresponding author), Sch Zool, Antarctic Wildlife Res Unit, Private Bag 05, Hobart, Tas 7001, Australia.</t>
  </si>
  <si>
    <t>Iain.Field@utas.edu.au</t>
  </si>
  <si>
    <t>Sumner, Michael D/J-3478-2013; Field, Iain C/D-3934-2009; Hindell, Mark A/K-1131-2013; Bradshaw, Corey J. A./A-1311-2008; Hindell, Mark A/C-8368-2013</t>
  </si>
  <si>
    <t>Bradshaw, Corey J. A./0000-0002-5328-7741; Sumner, Michael/0000-0002-2471-7511; Hindell, Mark/0000-0002-7823-7185</t>
  </si>
  <si>
    <t>10.1007/s00442-004-1704-2</t>
  </si>
  <si>
    <t>876CA</t>
  </si>
  <si>
    <t>WOS:000225472100015</t>
  </si>
  <si>
    <t>Nakagawa, F; Tsunogai, U; Komatsu, DD; Yamada, K; Yoshida, N; Moriizumi, J; Nagamine, K; Iida, T; Ikebe, Y</t>
  </si>
  <si>
    <t>Automobile exhaust as a source of 13C- and D-enriched atmospheric methane in urban areas</t>
  </si>
  <si>
    <t>ORGANIC GEOCHEMISTRY</t>
  </si>
  <si>
    <t>Goldschmidt Geochemistry Conference</t>
  </si>
  <si>
    <t>Kurashiki, JAPAN</t>
  </si>
  <si>
    <t>HYDROGEN ISOTOPIC COMPOSITION; STABLE CARBON; ANTHROPOGENIC EMISSIONS; ANTARCTIC ICE; RICE PADDIES; DELTA-D; OXIDATION; CH4; FLUX; FRACTIONATION</t>
  </si>
  <si>
    <t>The stable carbon and hydrogen isotopic compositions (delta(13)C and delta D, respectively) of methane (CH4) in automobile exhaust were determined in order to quantify by mass balance the contribution from this source to atmospheric CH4 in an urban area of Nagoya, Japan. Both delta(13)C and delta D values of CH4 in automobile exhaust increased in accordance with the model year of the engine, probably as a result of isotope fractionation effects associated with oxidation over metal catalysts in the catalytic converter of modern vehicles. Thus, CH4 emissions from recent automobiles exhibit conspicuous C-13 and D enrichment compared to the flux from other major anthropogenic sources, such as natural gas leakage, landfills and rice paddies. Using average delta(13)C and delta D CH4 values estimated for local sources, automobile exhaust in Nagoya, Japan, was determined to contribute significant amounts (up to 30%) of CH4 to the troposphere in the study area. (C) 2005 Elsevier Ltd. All rights reserved.</t>
  </si>
  <si>
    <t>Hokkaido Univ, Grad Sch Sci, Div Earth &amp; Planetary Sci, Kita Ku, Sapporo, Hokkaido 0600810, Japan; Tokyo Inst Technol, Interdisciplinary Grad Sch Sci &amp; Engn, Dept Environm Chem &amp; Engn, Midori Ku, Kanagawa 2268502, Japan; Tokyo Inst Technol, Interdisciplinary Grad Sch Sci &amp; Engn, Dept Environm Sci &amp; Technol, Midori Ku, Yokohama, Kanagawa 2268502, Japan; Japan Sci &amp; Technol Corp, SORST Project, Kawaguchi, Saitama 3320012, Japan; Nagoya Univ, Grad Sch Engn, Dept Nucl Engn, Chikusa Ku, Nagoya, Aichi 4648603, Japan</t>
  </si>
  <si>
    <t>Hokkaido University; Tokyo Institute of Technology; Tokyo Institute of Technology; Japan Science &amp; Technology Agency (JST); Nagoya University</t>
  </si>
  <si>
    <t>Hokkaido Univ, Grad Sch Sci, Div Earth &amp; Planetary Sci, Kita Ku, N10 W8, Sapporo, Hokkaido 0600810, Japan.</t>
  </si>
  <si>
    <t>fuminaka@ep.sci.hokudai.ac.jp</t>
  </si>
  <si>
    <t>MORIIZUMI, JUN/AAA-5915-2021; Yoshida, Naohiro/A-8335-2010; Tsunogai, Urumu/C-8303-2011</t>
  </si>
  <si>
    <t>MORIIZUMI, JUN/0000-0002-7576-3147; Yoshida, Naohiro/0000-0003-0454-3849; Tsunogai, Urumu/0000-0002-1517-3284</t>
  </si>
  <si>
    <t>0146-6380</t>
  </si>
  <si>
    <t>ORG GEOCHEM</t>
  </si>
  <si>
    <t>Org. Geochem.</t>
  </si>
  <si>
    <t>10.1016/j.orggeochem.2005.01.003</t>
  </si>
  <si>
    <t>929DV</t>
  </si>
  <si>
    <t>WOS:000229323200005</t>
  </si>
  <si>
    <t>On the taxonomic status of the Antarctic amphipod crustacean genera Eclysis (Astyridae) and Bathypanoploea (Stilipedidae), with partial redescription of their type species and description of Bathypanoploea polarsterni n. sp.</t>
  </si>
  <si>
    <t>ORGANISMS DIVERSITY &amp; EVOLUTION</t>
  </si>
  <si>
    <t>amphipoda; Astyridae; Stilipedidae; Eclysis; Bathypanoploea; taxonomy</t>
  </si>
  <si>
    <t>The monotypic genus Eclysis K.H. Barnard, 1932 and its type species; E. similis Barnard, are redescribed based upon a newly discovered second specimen. The genus Bathypanoploea Schellenberg, 1939 is reviewed; B. schellenbergi Holman &amp; Watling, 1983 is fixed as the type species. Bathypanoploea polarsterni n. sp. is described; Alexandrella pulchra Ren in Ren &amp; Huang, 1991 is a new junior synonym of B. schellenbergi. The morphology of Eclysis and Bathypanoploea is examined, as well as their relationships to the Astyridae and Stilipedidae.</t>
  </si>
  <si>
    <t>UNIS, Dept Biol, N-9171 Longyearbyen, Norway; Tromso Museum, UiTo, Dept Zool, N-9037 Tromso, Norway</t>
  </si>
  <si>
    <t>1439-6092</t>
  </si>
  <si>
    <t>1618-1077</t>
  </si>
  <si>
    <t>ORG DIVERS EVOL</t>
  </si>
  <si>
    <t>Org. Divers. Evol.</t>
  </si>
  <si>
    <t>Evolutionary Biology; Zoology</t>
  </si>
  <si>
    <t>932FA</t>
  </si>
  <si>
    <t>WOS:000229538400006</t>
  </si>
  <si>
    <t>Villafañe, VE; Gao, KS; Helbling, EW</t>
  </si>
  <si>
    <t>Short- and long-term effects of solar ultraviolet radiation on the red algae Porphyridium cruentum (S.F.!Gray) Nageli</t>
  </si>
  <si>
    <t>PHOTOCHEMICAL &amp; PHOTOBIOLOGICAL SCIENCES</t>
  </si>
  <si>
    <t>INDUCED DNA-DAMAGE; MARINE-PHYTOPLANKTON; B RADIATION; PATAGONIA ARGENTINA; ABSORBING COMPOUNDS; OZONE DEPLETION; UV-RADIATION; PHOTOSYNTHESIS; ACCLIMATION; PHOTOINHIBITION</t>
  </si>
  <si>
    <t>During spring 2002 and fall 2003 we carried out experiment in tropical southern China to determine the short- and long-term effects of solar ultraviolet radiation (UVR, 280 - 400 nm) on photosynthesis and growth in the unicellular red alga Porphyridium cruentum. During the experimentation, cells of P. cruentum were exposed to three radiation treatments: ( a) samples exposed to PAR ( 400 - 700 nm) + UV-A ( 315 - 400 nm) + UV-B ( 280 - 315 nm) (PAB treatment); (b) samples exposed to PAR + UV-A ( PA treatment) and, ( c) samples exposed only to PAR ( P treatment). To assess the short- term impact of UVR as a function of irradiance, we determined photosynthesis versus irradiance ( P vs. E) curves. From these curves the maximum carbon uptake rate (P-max) and the light saturation parameter (E-k) were obtained, with values of similar to 12.8 - 14.4 mu g C (mu g chl a)(-1) h(-1), and similar to 250 mu mol m(-2) s(-1), respectively. A significant UVR effect on assimilation numbers was observed when samples were exposed at irradiances higher than E-k, with samples exposed to full solar radiation having significant less carbon fixation than those exposed only to PAR. Biological weighting functions of P. cruentum were used to evaluate the UVR impact per unit energy received by the cells; the data indicate that the species is as sensitive as natural phytoplankton from the southern China Sea; however, it is much more resistant than Antarctic assemblages. When evaluating the combined effects of mixing speed and UVR, it was seen that samples rotating fast within the upper mixed layer were less inhibited by UVR as compared to those under slow mixing or in fixed samples. Growth of P. cruentum over a week-long experiment was not affected by neither UVR nor UV-A; additionally, low photoinhibition was found at the end as compared to that at the beginning of this experiment. Our results thus indicate that, although on short- term basis P. cruentum is affected by solar UVR, it can acclimate to minimize UVR-induced effects when given enough time.</t>
  </si>
  <si>
    <t>Shantou Univ, Inst Marine Biol, Shantou 515063, Guangdong, Peoples R China; Estac Fotobiol Playa Union, RA-9103 Rawson, Chubut, Argentina</t>
  </si>
  <si>
    <t>Shantou University</t>
  </si>
  <si>
    <t>Shantou Univ, Inst Marine Biol, Shantou 515063, Guangdong, Peoples R China.</t>
  </si>
  <si>
    <t>virginia@efpu.org.ar</t>
  </si>
  <si>
    <t>gao, kunshan/G-3374-2010</t>
  </si>
  <si>
    <t>Gao, Kunshan/0000-0001-7365-6332; Villafane, Virginia/0000-0002-9552-6069</t>
  </si>
  <si>
    <t>1474-905X</t>
  </si>
  <si>
    <t>1474-9092</t>
  </si>
  <si>
    <t>PHOTOCH PHOTOBIO SCI</t>
  </si>
  <si>
    <t>Photochem. Photobiol. Sci.</t>
  </si>
  <si>
    <t>10.1039/b418938h</t>
  </si>
  <si>
    <t>Biochemistry &amp; Molecular Biology; Biophysics; Chemistry, Physical</t>
  </si>
  <si>
    <t>Biochemistry &amp; Molecular Biology; Biophysics; Chemistry</t>
  </si>
  <si>
    <t>912GU</t>
  </si>
  <si>
    <t>WOS:000228066400007</t>
  </si>
  <si>
    <t>Schmalwieser, AW; Schauberger, G; Janouch, M; Nunez, M; Koskela, T; Berger, D; Karamanlan, G</t>
  </si>
  <si>
    <t>Global forecast model to predict the daily dose of the solar erythemally effective UV radiation</t>
  </si>
  <si>
    <t>ULTRAVIOLET-RADIATION; IRRADIANCE; EXPOSURE</t>
  </si>
  <si>
    <t>A worldwide forecast of the erythemally effective ultraviolet (UV) radiation is presented. The forecast was established to inform the public about the expected amount of erythemally effective UV radiation for the next day. Besides the irradiance, the daily dose is forecasted to enable people to choose the appropriate sun protection tools. Following the UV Index as the measure of global erythemally effective irradiance, the daily dose is expressed in units of UV Index hours. In this study, we have validated the model and the forecast against measurements from broadband UV radiometers of the Robertson-Berger type. The measurements were made at four continents ranging from the northern polar circle (67.4degreesN) to the Antarctic coast (61.1degreesS). As additional quality criteria the frequency of underestimation was taken into account because the forecast is a tool of radiation protection and made to avoid overexposure. A value closer than one minimal erythemal dose for the most sensitive skin type 1 to the observed value was counted as hit and greater deviations as underestimation or overestimation. The Austrian forecast model underestimates the daily dose in 3.7% of all cases, whereas 1.7% results from the model and 2.0% from the assumed total ozone content. The hit rate could be found in the order of 40%.</t>
  </si>
  <si>
    <t>Univ Vet Med, Inst Med Phys &amp; Biostat, A-1210 Vienna, Austria; Czech Hydrometeorol Inst, Solar &amp; Ozone Observ Hradec Kralove, Hradec Kralove, Czech Republic; Univ Tasmania, Sch Geog &amp; Environm Studies, Hobart, Tas, Australia; Finnish Meteorol Inst, FIN-00101 Helsinki, Finland; Solar Light Inc, Philadelphia, PA USA; GAW Stn, Ushuaia, Argentina</t>
  </si>
  <si>
    <t>University of Veterinary Medicine Vienna; Czech Hydrometeorological Institute; University of Tasmania; Finnish Meteorological Institute</t>
  </si>
  <si>
    <t>Univ Vet Med, Inst Med Phys &amp; Biostat, Vet Pl 1, A-1210 Vienna, Austria.</t>
  </si>
  <si>
    <t>alois.schmalwieser@vu-wien.ac.at</t>
  </si>
  <si>
    <t>Schmalwieser, Alois W/B-3748-2011; Janouch, Michal/AAA-7592-2020; Schauberger, Gunther/C-6543-2009</t>
  </si>
  <si>
    <t>Schmalwieser, Alois W/0000-0003-0719-391X; Schauberger, Gunther/0000-0003-2418-3692</t>
  </si>
  <si>
    <t>10.1562/2003-12-03-RA-019.1</t>
  </si>
  <si>
    <t>898WL</t>
  </si>
  <si>
    <t>WOS:000227106800022</t>
  </si>
  <si>
    <t>Zúñiga-Feest, A; Ort, DR; Gutiérrez, A; Gidekel, M; Bravo, LA; Corcuera, LJ</t>
  </si>
  <si>
    <t>Light regulation of sucrose-phosphate synthase activity in the freezing-tolerant grass Deschampsia antarctica</t>
  </si>
  <si>
    <t>PHOTOSYNTHESIS RESEARCH</t>
  </si>
  <si>
    <t>cold temperatures; day length; Deschampsia antarctica; light regulation; sucrose accumulation; sucrose phosphate synthase</t>
  </si>
  <si>
    <t>FRUCTAN METABOLISM; CHILLING-TEMPERATURES; CARBOHYDRATE CONTENT; PROSOPIS-JULIFLORA; CARBON METABOLISM; COLD-ACCLIMATION; VASCULAR PLANTS; LEAVES; ENZYMES; ACCUMULATION</t>
  </si>
  <si>
    <t>Deschampsia antarctica, a freezing-tolerant grass that has colonized the Maritime Antarctic, has an unusually high content of sucrose (Suc) in leaves, reaching up to 36% of dry weight. Suc accumulation has often been linked with increased activity of sucrose phosphate synthase (SPS; EC: 2.4.1.1.14). SPS, a key enzyme in sucrose biosynthesis, is controlled by an intricate hierarchy of regulatory mechanisms including allosteric modulators, reversible covalent modification in response to illumination, and transcriptional regulation. We hypothesized that during long day conditions in the Antarctic summer D. antarctica can maintain high SPS activity longer by indirect light regulation, thereby leading to a high sucrose accumulation in the leaves. The objectives of this study were to investigate a possible indirect light regulation of SPS activity and the effect of cold and day length on transcriptional and protein level of SPS in D. antarctica. Although SPS activity did not display an endogenous rhythm of activity in continuous light, activation of SPS at the end of the dark period was observed in D. antarctica. This activation of SPS is possibly controlled by covalent modification, because it was inhibited by okadaic acid while the SPS protein level did not significantly change. The highest SPS activity increase was observed after 21 days of cold-acclimation under long day conditions. This increased activity was not related to an increase in SPS gene expression or protein content. High SPS activity in cold long days leading to hyper accumulation of Suc appears to be among the features that permit D. antarctica to survive in the harsh Antarctic conditions.</t>
  </si>
  <si>
    <t>Univ Concepcion, Fac Ciencias Nat &amp; Oceanog, Dept Bot, Concepcion, Chile; Univ Illinois, USDA ARS, Dept Plant Biol, Urbana, IL 61801 USA; Univ Illinois, USDA ARS, Photosynth Res Unit, Urbana, IL 61801 USA; Univ La Frontera, Inst Agroind, Lab Fisiol &amp; Biol Mol Plantas, Temuco, Chile</t>
  </si>
  <si>
    <t>Universidad de Concepcion; United States Department of Agriculture (USDA); University of Illinois System; University of Illinois Urbana-Champaign; United States Department of Agriculture (USDA); University of Illinois System; University of Illinois Urbana-Champaign; Universidad de La Frontera</t>
  </si>
  <si>
    <t>Bravo, Leon/H-9251-2018; Corcuera, Luis J/G-1714-2014; Bravo, León/AAO-8437-2020; Zuniga-Feest, Alejandra/D-8308-2015</t>
  </si>
  <si>
    <t>Bravo, Leon/0000-0003-4705-4842; Bravo, León/0000-0003-4705-4842; Zuniga-Feest, Alejandra/0000-0002-3524-9813; Gidekel, Manuel/0000-0002-6770-4630</t>
  </si>
  <si>
    <t>0166-8595</t>
  </si>
  <si>
    <t>1573-5079</t>
  </si>
  <si>
    <t>PHOTOSYNTH RES</t>
  </si>
  <si>
    <t>Photosynth. Res.</t>
  </si>
  <si>
    <t>10.1007/s11120-004-4277-3</t>
  </si>
  <si>
    <t>903KE</t>
  </si>
  <si>
    <t>WOS:000227423900010</t>
  </si>
  <si>
    <t>Cartlidge, E</t>
  </si>
  <si>
    <t>Antarctic ice set to probe the universe</t>
  </si>
  <si>
    <t>PHYSICS WORLD</t>
  </si>
  <si>
    <t>IOP Publishing Ltd</t>
  </si>
  <si>
    <t>0953-8585</t>
  </si>
  <si>
    <t>PHYS WORLD</t>
  </si>
  <si>
    <t>Phys. World</t>
  </si>
  <si>
    <t>Physics, Multidisciplinary</t>
  </si>
  <si>
    <t>895WJ</t>
  </si>
  <si>
    <t>WOS:000226894400008</t>
  </si>
  <si>
    <t>Rocchi, S; Armienti, P; Di Vincenzo, G</t>
  </si>
  <si>
    <t>Anderson, DL</t>
  </si>
  <si>
    <t>Foulger, GR; Natland, JH; Presnall, DC</t>
  </si>
  <si>
    <t>Rocchi, Sergio; Armienti, Pietro; Di Vincenzo, Gianfranco</t>
  </si>
  <si>
    <t>No plume, no rift magmatism in the West Antarctic Rift</t>
  </si>
  <si>
    <t>PLATES, PLUMES AND PARADIGMS</t>
  </si>
  <si>
    <t>Geological Society of America Special Papers</t>
  </si>
  <si>
    <t>rift; magmatism; mantle plume; strike-slip fault; Antarctica</t>
  </si>
  <si>
    <t>MARIE BYRD LAND; NORTHERN VICTORIA-LAND; ROSS-SEA-RIFT; TRANSANTARCTIC MOUNTAINS; GEOCHEMICAL EVOLUTION; CENOZOIC VOLCANISM; ALKALIC BASALTS; PACIFIC MARGIN; PLATE MOTION; MANTLE</t>
  </si>
  <si>
    <t>The West Antarctic Rift system is one of the largest areas of crustal extension in the world. Current interpretations of its driving mechanisms rely mostly on the occurrence of one or more mantle plumes that was active during the Cenozoic or the Mesozoic. The plume hypotheses are mainly based on the similarity between the basalts from the West Antarctic Rift and those associated with long-lived hotspot tracks. The geochemical signature of the mafic rocks is indeed typical of ocean island basalts (OIB), from a source with a tendency to high mu, i.e., high U/Pb (HIMU) mantle. However, these features cannot be exclusively interpreted in terms of a plume sampling very old slab material recycled at great depth for a long time (10(9) yr): a metasomatic event at a time on the order of 10(8) yr (i.e., Cretaceous) is sufficient to have produced the required source features. Geometric-chronological relationships between magmatism and local tectonic activity further constrain the scenario. In Victoria Land, the occurrence of plutons, dike swarms, and volcanic edifices since the Middle Eocene indicates that magma emplacement is guided by the dextral strike-slip fault systems that dissect the rift shoulder in this area. The faults were active at their Ross Sea termination in Cenozoic time, coeval with magma emplacement, as demonstrated by the ca. 34 Ma age of a pseudotachylyte generated in the right-lateral fault system exposed in northern Victoria Land. Middle Eocene activity is also inferred for the Pacific termination of the faults from apatite fission track thermochronology. In a wider perspective, these faults are in striking continuity with Southern Ocean fracture zones, and mantle tomography depicts a thermal anomaly of linear ( not circular) shape overlapping the belt of the same fracture zones, suggesting that the anomaly is related to lithospheric geometry and movements rather than to deep plumes. The lack of any decisive evidence for plume activity is thus associated with the evidence that large-scale tectonic features drove magma emplacement: the Cenozoic fault systems reactivated Paleozoic tectonic discontinuities, and their activity is dynamically linked to the Southern Ocean fracture zones. As an alternative to both active (plume-driven) rifting and passive rifting, we propose that lithospheric strike-slip deformation could have promoted transtension-related decompression melting of a mantle already decompressed or veined during the Late Cretaceous amagmatic extensional rift phase.</t>
  </si>
  <si>
    <t>[Rocchi, Sergio; Armienti, Pietro] Univ Pisa, Dipartimento Sci Terra, I-56100 Pisa, Italy; [Di Vincenzo, Gianfranco] CNR, Ist Geosci &amp; Georisorse, I-56100 Pisa, Italy</t>
  </si>
  <si>
    <t>University of Pisa; Consiglio Nazionale delle Ricerche (CNR); Istituto di Geoscienze e Georisorse (IGG-CNR)</t>
  </si>
  <si>
    <t>Rocchi, S (corresponding author), Univ Pisa, Dipartimento Sci Terra, I-56100 Pisa, Italy.</t>
  </si>
  <si>
    <t>rocchi@dst.unipi.it</t>
  </si>
  <si>
    <t>Rocchi, Sergio/0000-0001-6868-1939; DI VINCENZO, GIANFRANCO/0000-0002-9669-9789</t>
  </si>
  <si>
    <t>GEOLOGICAL SOC AMER INC</t>
  </si>
  <si>
    <t>3300 PENROSE PL, PO BOX 9140, BOULDER, CO 80301 USA</t>
  </si>
  <si>
    <t>0072-1077</t>
  </si>
  <si>
    <t>978-0-8137-2388-4</t>
  </si>
  <si>
    <t>GEOL SOC AM SPEC PAP</t>
  </si>
  <si>
    <t>10.1130/2005.2388(26)</t>
  </si>
  <si>
    <t>Geochemistry &amp; Geophysics; Geology; Geosciences, Multidisciplinary</t>
  </si>
  <si>
    <t>Geochemistry &amp; Geophysics; Geology</t>
  </si>
  <si>
    <t>BLX99</t>
  </si>
  <si>
    <t>WOS:000271372500027</t>
  </si>
  <si>
    <t>Eastman, JT</t>
  </si>
  <si>
    <t>The nature of the diversity of Antarctic fishes</t>
  </si>
  <si>
    <t>SNAILFISH GENUS PARALIPARIS; NOTOTHENIOID FISH; ROSS SEA; WEDDELL SEA; HARPAGIFER-BISPINIS; SEYMOUR-ISLAND; MCMURDO SOUND; PISCES; EVOLUTION; PERCIFORMES</t>
  </si>
  <si>
    <t>The species diversity of the Antarctic fish fauna changed notably during the approximate to40 million years from the Eocene to the present. A taxonomically restricted and endemic modern fauna succeeded a taxonomically diverse and cosmopolitan Eocene fauna. Although the Southern Ocean is 10% of the world's ocean, its current fish fauna consists of only 322 species, small considering the global diversity of approximate to25,000-28,000 species. The fauna is reasonably well-known from a taxonomic perspective. This intermediate designation between poorly known and well-known indicates that new species are regularly being described. A conservative estimate of the number of undescribed species is approximate to30-60; many of these may be liparids. On the Antarctic continental shelf and upper slope the fauna includes 222 species from 19 families of benthic fishes. The most speciose taxa are notothenioids, liparids and zoarcids, accounting for 88% of species diversity. Endemism for Antarctic species is also, coincidentally, 88%, at least threefold higher than in faunas from other isolated marine localities. Eight notothenioid families, including five that are primarily Antarctic, encompass a total of 44 genera and 129 species, 101 Antarctic and 28 non-Antarctic. The 101 Antarctic species make up 45% of the benthic species diversity in the Antarctic region. However, at the highest latitudes, notothenioids contribute 77% of the species diversity, 92% of the abundance and 91% of the biomass. Although species diversity is low compared to other shelf habitats, the nature of the adaptive radiation in organismal diversity among notothenioids is noteworthy in the marine realm. In some notothenioid clades phyletic diversification was accompanied by considerable morphological and ecological diversification. The exemplar is the benthic family Nototheniidae that underwent a habitat or depth related diversification centred on the alteration of buoyancy. They occupy an array of pelagic and benthopelagic habitats at various depths on the shelf and upper slope. Diversification in buoyancy is the hallmark of the nototheniid radiation and, in the absence of swim bladders, was accomplished by a combination of reduced skeletal mineralisation and lipid deposition. Although neutral buoyancy is found in only five species of nototheniids some, like Pleuragramma antarcticum, are abundant and ecologically important. Much work remains to be done in order to frame and to use phylogenetically based statistical methods to test hypotheses relating to the key features of the notothenioid radiation. To reach this analytical phase more completely resolved cladograms that include phyletically basal and non-Antarctic species are essential.</t>
  </si>
  <si>
    <t>Ohio Univ, Dept Biomed Sci, Athens, OH 45701 USA</t>
  </si>
  <si>
    <t>University System of Ohio; Ohio University</t>
  </si>
  <si>
    <t>Ohio Univ, Dept Biomed Sci, Athens, OH 45701 USA.</t>
  </si>
  <si>
    <t>eastman@ohiou.edu</t>
  </si>
  <si>
    <t>Eastman, Joseph T./O-6150-2019; Eastman, Joseph T/A-9786-2008</t>
  </si>
  <si>
    <t>Eastman, Joseph T./0000-0003-3868-261X;</t>
  </si>
  <si>
    <t>10.1007/s00300-004-0667-4</t>
  </si>
  <si>
    <t>887OE</t>
  </si>
  <si>
    <t>WOS:000226314600001</t>
  </si>
  <si>
    <t>Convey, P</t>
  </si>
  <si>
    <t>Recent lepidopteran records from sub-Antarctic South Georgia</t>
  </si>
  <si>
    <t>ECOLOGY; LIFE; INVERTEBRATES; BEETLE</t>
  </si>
  <si>
    <t>No Lepidoptera (butterflies and moths) are known to be residents of South Georgia. This paper presents new records of three lepidopterans on the island. Two, Agrotis ipsilon (Noctuidae) and Plutella xylostella (Yponomeutidae), are well-known migrants. The third, Plodia interpunctella (Pyralidae), is closely associated with human habitation. In the context of regional trends of climate warming P. xylostella may already possess the ecophysiological capacity to permit establishment on South Georgia.</t>
  </si>
  <si>
    <t>10.1007/s00300-004-0681-6</t>
  </si>
  <si>
    <t>WOS:000226314600002</t>
  </si>
  <si>
    <t>Sewell, MA</t>
  </si>
  <si>
    <t>Examination of the meroplankton community in the south-western Ross Sea, Antarctica, using a collapsible plankton net</t>
  </si>
  <si>
    <t>EVECHINUS-CHLOROTICUS ECHINODERMATA; BENTHIC MARINE-INVERTEBRATES; MCMURDO SOUND; LARVAL DEVELOPMENT; ZOOPLANKTON COMMUNITY; BELLINGSHAUSEN SEA; ASTEROID LARVAE; PELAGIC LARVAE; VESTFOLD HILLS; WHITE-ISLAND</t>
  </si>
  <si>
    <t>The meroplankton community in the coastal Antarctic has been poorly studied, in part due to the presence of extensive sea-ice cover during the summer months. In this study, a collapsible plankton net was used to examine the meroplankton community at two sites in the south-western Ross Sea: at Cape Evans on Ross Island, and at Cape Roberts on the Victoria Land coast. Three samples were taken on 5 consecutive days in the early summer at each site (26-30 November and 8-12 December 2001) and 11 operational taxonomic units (OTUs) were quantified from the phyla Annelida, Mollusca, Nemertea, Echinodermata and Sipuncula and the early developmental stages of undetermined phyla. Multivariate analysis showed that there were distinct differences in the meroplankton communities at the two locations, but because there was a 2-week difference in the time of sampling between sites, location and time are confounded variables. On average, a total of 16 larvae/eggs/embryos were collected per tow (3.92 m(3)) at Cape Evans and 27 larvae/eggs/embryos at Cape Roberts, with a significant difference in total larval numbers and in numbers of 4/6 larval types tested between location and time. This research has shown that a collapsible plankton net can be used for meroplankton work in remote locations in the coastal Antarctic and that a diverse meroplankton community is evident in the south-western Ross Sea in the early summer.</t>
  </si>
  <si>
    <t>Univ Auckland, Sch Biol Sci, Auckland 1, New Zealand</t>
  </si>
  <si>
    <t>University of Auckland</t>
  </si>
  <si>
    <t>Sewell, MA (corresponding author), Univ Auckland, Sch Biol Sci, Private Bag 92019, Auckland 1, New Zealand.</t>
  </si>
  <si>
    <t>m.sewell@auckland.ac.nz</t>
  </si>
  <si>
    <t>Sewell, Mary A/C-9017-2009</t>
  </si>
  <si>
    <t>Sewell, Mary A/0000-0002-1595-7951</t>
  </si>
  <si>
    <t>10.1007/s00300-004-0670-9</t>
  </si>
  <si>
    <t>WOS:000226314600004</t>
  </si>
  <si>
    <t>Masini, MA; Sturla, M; Ricci, F; Uva, BM</t>
  </si>
  <si>
    <t>Immunohistochemical localisation of FMRF-amide-like peptide in the brain of icefish and red-blooded Antarctic Teleosts</t>
  </si>
  <si>
    <t>FMRFAMIDE-LIKE IMMUNOREACTIVITY; FISH CHAENOCEPHALUS-ACERATUS; CARASSIUS-AURATUS; NERVOUS-SYSTEM; GOLDFISH; HEMOGLOBIN; NEUROPEPTIDE; PITUITARY; EXCHANGE; ANTIBODY</t>
  </si>
  <si>
    <t>The distribution of Phe-Met-Arg-Phe-NH2 (FMRF-amide) -like immunoreactivity was investigated by indirect immunofluorescence technique using the molluscan FMRF-amide antibody in the brain of icefish (Pagetopsis macropterus and Chionodraco hamatus used as positive control) and red blooded (Trematomus bernacchii, Gymnodraco acuticeps, Histiodraco velifer, Cygnodraco mawsoni) Antarctic Teleosts. Immunoreactive perikarya were localised in the ventral thalamus, in the hypothalamus (preoptic and periventricular regions) and in the intermedioventral rhombencephalon (vagal motor nucleus) as well as in the telencephalon and in the mesencephalon. Positive nerve fibres were seen to project towards the caudal brainstem to reach the rhombencephalon. No differences were observed in the immunopositivity of FMRF-amide new distribution in the Antarctic Teleosts examined. In the icefishes the immunoreaction was stronger than in the hemoglobin-rich Teleosts. The distribution patterns of the FMRF-amide immunostaining suggest that this peptide may play a pivotal role in the cardiovascular regulation in the Antarctic Teleosts.</t>
  </si>
  <si>
    <t>Univ Genoa, Dipartimento Biol, I-16132 Genoa, Italy; ENEA, GSP1 Antartide, CR Casaccia, I-00060 Rome, Italy</t>
  </si>
  <si>
    <t>University of Genoa; Italian National Agency New Technical Energy &amp; Sustainable Economics Development</t>
  </si>
  <si>
    <t>Masini, MA (corresponding author), Univ Genoa, Dipartimento Biol, Vle Benedetto XV 5, I-16132 Genoa, Italy.</t>
  </si>
  <si>
    <t>masini@unige.it</t>
  </si>
  <si>
    <t>10.1007/s00300-004-0666-5</t>
  </si>
  <si>
    <t>WOS:000226314600006</t>
  </si>
  <si>
    <t>The role of amino acids in phagostimulation in the shallow-water omnivorous Antarctic sea star Odontaster validus</t>
  </si>
  <si>
    <t>LUIDIA-CLATHRATA ECHINODERMATA; TUBE-FOOT RESPONSES; SPINY LOBSTER; BEHAVIORAL-RESPONSES; FEEDING-BEHAVIOR; OLFACTORY ORGAN; CHEMICAL COMMUNICATION; PERKNASTER-FUSCUS; BUCCINUM-UNDATUM; ASTERIAS-FORBESI</t>
  </si>
  <si>
    <t>Experiments were carried out to study the behavioural responses of the omnivorous Antarctic sea star Odontaster validus to natural food odour, several single amino acids and their mixtures. Starved sea stars responded to natural food stimulus by rapid rise of metabolic rate, locomotory activity directed towards signal source, cessation of movement after reaching it and initiation of feeding. All single amino acids that were tested were detected by experimental animals, although there were marked differences in the sea stars reaction to them. Amino acids with narrow and broad scope of influence were distinguished, with glutamic acid being the most potent sea star stimulant. It was also found that the same sea star reaction (e.g. metabolic rate increase or locomotory activity) can be caused by several different amino acids. The effects of amino acid mixtures were significantly stronger than that of single amino acids, with &gt;80% of animals reaching signal source. O. validus seems well adapted to using both single and complicated food signals in its foraging behaviour.</t>
  </si>
  <si>
    <t>10.1007/s00300-004-0664-7</t>
  </si>
  <si>
    <t>WOS:000226314600007</t>
  </si>
  <si>
    <t>Jordan, AD; Herbert, NA; Steffensen, JF</t>
  </si>
  <si>
    <t>Escape performance in three teleosts from West Greenland</t>
  </si>
  <si>
    <t>MUSCLE POWER OUTPUT; METABOLIC COLD ADAPTATION; ANTARCTIC FISH; SWIMMING PERFORMANCE; MARINE FISH; TEMPERATURE; LOCOMOTION; KINEMATICS; FIBERS; COD</t>
  </si>
  <si>
    <t>Escape performance was examined in three similarly sized teleosts caught in Arctic waters: the Atlantic cod, Gadus morhua, the Greenland cod, Gadus ogac, and the short-horned sculpin, Myoxocephalus scorpius. Escape responses were elicited by a mechanical stimulus and followed by recordings of velocity and acceleration over the first 320 ms. A significant difference in escape performance was confirmed between the three species. G. morhua always exhibited the fastest and M. scorpius the slowest responses. Maximal measures of acceleration and velocity revealed no difference between G. morhua (12.6 m s(-2) and 1.27 m s(-1)) and G. ogac (11.9 m s(-2) and 1.16 m s(-1)) but an overall reduced performance in M. scorpius (6.5 am s(-2) and 0.71 m s(-1)). The escape performance of the gadid and cottid species generally correlate well with their behavioural lifestyle, but it is surprisingly similar to Antarctic notothenioid fishes at lower temperatures.</t>
  </si>
  <si>
    <t>Univ Copenhagen, Marine Biol Lab, DK-3000 Helsingor, Denmark; Univ Copenhagen, Arctic Stn, Godhavn Qeqertarsuaq 3953, Greenland</t>
  </si>
  <si>
    <t>University of Copenhagen</t>
  </si>
  <si>
    <t>Jordan, AD (corresponding author), Univ Copenhagen, Marine Biol Lab, Strandpromenaden 5, DK-3000 Helsingor, Denmark.</t>
  </si>
  <si>
    <t>Adjordan@bi.ku.dk</t>
  </si>
  <si>
    <t>Steffensen, John Fleng/F-6778-2010</t>
  </si>
  <si>
    <t>Steffensen, John Fleng/0000-0002-4477-8039</t>
  </si>
  <si>
    <t>10.1007/s00300-004-0679-0</t>
  </si>
  <si>
    <t>WOS:000226314600009</t>
  </si>
  <si>
    <t>Scambos, T; Novak, C</t>
  </si>
  <si>
    <t>Scambos, Ted; Novak, Clarence</t>
  </si>
  <si>
    <t>ON THE CURRENT LOCATION OF THE BYRD SNOW CRUISER AND OTHER ARTIFACTS FROM LITTLE AMERICA I, II, III AND FRAMHEIM</t>
  </si>
  <si>
    <t>POLAR GEOGRAPHY</t>
  </si>
  <si>
    <t>Analysis of maps, sightings, satellite images, and aerial photos indicates that a similar to 105 km(2) section of the eastern side of the Bay of Whales, containing the buried remains of several bases from the heroic era of Antarctic exploration, calved away around late 1961. A small iceberg from this event (or closely spaced events), with the remains of Little America III exposed in the ice face, was sighted in February 1963 near the western Ross Ice Shelf front. Satellite observations of more recent calving events show that most small icebergs from the Bay of Whales area drift westward and repeatedly impact the shelf, fragmenting as they move. This implies that a number of artifacts from the bases, such as the 1939-1941 Snow Cruiser, are likely strewn along the seabed near the 1962 ice-front position. Major Ross Ice Shelf calvings of 2000 and 2002 have removed the ice cover from parts of the 1962 front area for the first time since that period. Thus a search for the artifacts is technically more feasible for the next few years until shelf ice flow re-covers the area.</t>
  </si>
  <si>
    <t>[Scambos, Ted] Univ Colorado, Natl Snow &amp; Ice Data Ctr, 1540 30th St, Boulder, CO 80309 USA; [Novak, Clarence] Novak Res Media, Lawrenceburg, TN 38464 USA</t>
  </si>
  <si>
    <t>Scambos, T (corresponding author), Univ Colorado, Natl Snow &amp; Ice Data Ctr, 1540 30th St, Boulder, CO 80309 USA.</t>
  </si>
  <si>
    <t>teds@icehouse.colorado.edu</t>
  </si>
  <si>
    <t>Snow and Ice Distributed Active Archive Center, NASA [NAS503099]; National Snow and Ice Data Center; NSF-OPP [0337165]; Directorate For Geosciences; Office of Polar Programs (OPP) [0337165] Funding Source: National Science Foundation</t>
  </si>
  <si>
    <t>Snow and Ice Distributed Active Archive Center, NASA; National Snow and Ice Data Center; NSF-OPP(National Science Foundation (NSF)); Directorate For Geosciences; Office of Polar Programs (OPP)(National Science Foundation (NSF)NSF - Directorate for Geosciences (GEO))</t>
  </si>
  <si>
    <t>Corresponding author; email: teds@icehouse. colorado. edu. We thank Captain Ron Jesberg (ret.), Colonel Ted Petras (deceased), and the crew association of the USS Edisto (see http://www.ussedistoagb2. com). Background information some photographs of the Snow Cruiser come from United States National Archives; we thank the staff of the College Park, MD facility. Some additional materials on both the Chicago-Boston trip of the Snow Cruiser and pictures of Little America III were provided by the Schenectady County Public Library via Andrew Fountain. Remote sensing and IGY-era data sets used in this work are supported by the Snow and Ice Distributed Active Archive Center, NASA contract NAS503099, the NOAA Cooperative Agreement for the National Snow and Ice Data Center, and by NSF-OPP grant 0337165 supporting the Antarctic Glaciological Data Center.</t>
  </si>
  <si>
    <t>1088-937X</t>
  </si>
  <si>
    <t>1939-0513</t>
  </si>
  <si>
    <t>POLAR GEOGR</t>
  </si>
  <si>
    <t>Polar Geogr.</t>
  </si>
  <si>
    <t>10.1080/789610142</t>
  </si>
  <si>
    <t>V64KJ</t>
  </si>
  <si>
    <t>WOS:000211099600001</t>
  </si>
  <si>
    <t>The Adelie Blizzard:: the Australasian Antarctic Expedition's neglected newspaper</t>
  </si>
  <si>
    <t>To prevent boredom and restlessness during early Arctic and Antarctic over-wintering expeditions, leaders often encouraged 'cultural' activities, one of the most successful of which was the production of newspapers. Expedition members contributed poetry, short fiction, and literary criticism as well as scientific articles and accounts of their daily activities. These newspapers provide an important insight into the experiences and attitudes of the men who took part in the expeditions. In some cases, the newspaper would be published on the expedition's return, as a means of publicity, fund-raising, and memorialisation. The most famous example is the South Polar Times, the newspaper produced by Robert Falcon Scott's two expeditions. Other polar newspapers remain unpublished and unexamined. This article focuses on the Adelie Blizzard, the newspaper of the Australasian Antarctic Expedition of 1911-14, led by Douglas Mawson. Despite Mawson's efforts, the Adelie Blizzard was never published, and is rarely discussed in any detail in accounts of the expedition. The aim of this article is to address this neglect, by examining the genesis, production and attempted publication of the Adelie Blizzard.</t>
  </si>
  <si>
    <t>Univ Tasmania, Sch English Journalism &amp; European Languages, Hobart, Tas 7001, Australia</t>
  </si>
  <si>
    <t>Leane, E (corresponding author), Univ Tasmania, Sch English Journalism &amp; European Languages, Private Bag 82, Hobart, Tas 7001, Australia.</t>
  </si>
  <si>
    <t>10.1017/S0032247404003973</t>
  </si>
  <si>
    <t>908MF</t>
  </si>
  <si>
    <t>WOS:000227790400002</t>
  </si>
  <si>
    <t>Curry, CH; McCarthy, JS; Darragh, HM; Wake, RA; Churchill, SE; Robins, AM; Lowen, RJ</t>
  </si>
  <si>
    <t>Identification of an agent suitable for disinfecting boots of visitors to the Antarctic</t>
  </si>
  <si>
    <t>PENGUINS PYGOSCELIS-ADELIAE; SALMONELLA; ISLAND</t>
  </si>
  <si>
    <t>Studies of Antarctic fauna have led to tentative identification of a range of potential pathogens for both animals and humans. The rapid increase in visitors on tourist ships to the continent, now exceeding 10,000 per year, raises the concern that humans might transmit pathogens into and between wildlife colonies. The authors investigated the feasibility and efficacy of chemical disinfection of the microbial contamination on visitors' boots. During three voyages to penguin colonies in the Ross Sea, swabs were collected from the boots of visitors prior to landing, immediately on return to the ship, after a water wash, and after a chemical disinfectant wash using Virkon S. For the first two visits, abundant growth of bacteria was identified on boots at all three stages prior to disinfection. Following disinfection, the growth of bacteria was virtually eliminated. On the third visit, previously disinfected boots grew virtually no bacteria. After this landing the bacterial growth was substantially reduced by disinfection. These results indicate that consideration should be given to including disinfection in cleaning the boots of visitors to wildlife sites in the Antarctic to reduce the risk of translocation of microbial pathogens.</t>
  </si>
  <si>
    <t>Fremantle Hosp, Emergency Dept, Fremantle, WA 6160, Australia; Queensland Inst Med Res, Herston, Qld 4006, Australia; Fremantle Hosp, Dept Microbiol, Fremantle, WA 6160, Australia; Bunbury Hosp, Bunbury, WA, Australia; S Western Private Hosp, Melbourne, Vic, Australia</t>
  </si>
  <si>
    <t>South Metropolitan Health Service; Fiona Stanley Fremantle Hospitals Group; Fremantle Hospital; University of Western Australia; QIMR Berghofer Medical Research Institute; South Metropolitan Health Service; Fiona Stanley Fremantle Hospitals Group; Fremantle Hospital; University of Western Australia</t>
  </si>
  <si>
    <t>Fremantle Hosp, Emergency Dept, Alma St, Fremantle, WA 6160, Australia.</t>
  </si>
  <si>
    <t>chriscurry1@compuserve.com</t>
  </si>
  <si>
    <t>McCarthy, James S/C-1681-2009</t>
  </si>
  <si>
    <t>10.1017/S0032247404003961</t>
  </si>
  <si>
    <t>WOS:000227790400004</t>
  </si>
  <si>
    <t>Kjær, KG; Sefland, M</t>
  </si>
  <si>
    <t>The Arctic ship Veslekari</t>
  </si>
  <si>
    <t>The ship Veslekari was launched in 1918 from Christian Jensen's shipyard near Kristiania (present-day Oslo), where Roald Amundsen's ship Maud had been built. Although primarily a sealer, she was also used extensively for other expeditions to the Arctic. She participated in several relief expeditions, including one in 1936 to Jan Mayen to evacuate people during a series of earthquakes, and another in 1939 to northeast Greenland to evacuate Count Gaston Micard, who was seriously ill. In 1928 Veslekari participated in the search for Roald Amundsen and his plane in the waters off Bjornoya. Tryggve Gran, a member of Robert Falcon Scott's last expedition, sailed with her at that time. She was chartered four times as expedition ship for the American Arctic explorer Miss Louise A. Boyd. In the summer of 1940 Veslekari sailed to northeast Greenland to relieve Norwegian hunters and the crew of the Norwegian weather station, but she was impounded by British and Norwegian forces and taken to Scotland on order of the Norwegian government in London. She was chartered by the Ministry of War Transport and was based in Scotland and Iceland. In 1943 she was renamed HMS Bran, field and was prepared for service in the Antarctic. After the war she resumed sealing under Norwegian ownership until in 196 1, when she was wrecked in the ice in the sealing ground off Newfoundland.</t>
  </si>
  <si>
    <t>Torbeinsund, N-9136 Vannareid, Norway</t>
  </si>
  <si>
    <t>10.1017/S0032247404003997</t>
  </si>
  <si>
    <t>WOS:000227790400006</t>
  </si>
  <si>
    <t>Aleksandrov, YI; Bryazgin, NN; Forland, EJ; Radionov, VF; Svyashchennikov, PN</t>
  </si>
  <si>
    <t>Seasonal, interannual and long-term variability of precipitation and snow depth in the region of the Barents and Kara seas</t>
  </si>
  <si>
    <t>POLAR RESEARCH</t>
  </si>
  <si>
    <t>CLIMATOLOGY; MODEL</t>
  </si>
  <si>
    <t>Observation data of temperature, precipitation and snow depth have been compiled and generalized climatologically for a network of 38 stations in and around the Barents and Kara seas, for the period 1951-1992. The monthly precipitation totals were corrected for measuring errors, and the correction method is described in detail. The corrected precipitation values show that the annual precipitation in the region ranges from more than 500 mm along the coast of the Kola Peninsula to less than 200 mm in parts of the north-eastern Kara Sea. The solid fraction of the annual precipitation ranges from 70% in northern parts to 35% in southern parts. For the period 1951-1992 the analysis indicates decreasing trends in annual values of temperature, precipitation and snow depths in the north-eastern parts of the region.</t>
  </si>
  <si>
    <t>Arctic &amp; Antarctic Res Inst, St Petersburg 199397, Russia; Norwegian Meteorol Inst, NO-0313 Oslo, Norway</t>
  </si>
  <si>
    <t>Arctic &amp; Antarctic Research Institute; Norwegian Meteorological Institute</t>
  </si>
  <si>
    <t>Arctic &amp; Antarctic Res Inst, 38 Bering St, St Petersburg 199397, Russia.</t>
  </si>
  <si>
    <t>vradion@aari.nw.ru</t>
  </si>
  <si>
    <t>Radionov, Vladimir F./O-3038-2017; Sviashchennikov, Pavel/M-1736-2015</t>
  </si>
  <si>
    <t>0800-0395</t>
  </si>
  <si>
    <t>1751-8369</t>
  </si>
  <si>
    <t>POLAR RES</t>
  </si>
  <si>
    <t>Polar Res.</t>
  </si>
  <si>
    <t>10.1111/j.1751-8369.2005.tb00141.x</t>
  </si>
  <si>
    <t>Ecology; Geosciences, Multidisciplinary; Oceanography</t>
  </si>
  <si>
    <t>Environmental Sciences &amp; Ecology; Geology; Oceanography</t>
  </si>
  <si>
    <t>948TP</t>
  </si>
  <si>
    <t>WOS:000230738900007</t>
  </si>
  <si>
    <t>Camus, L; Gulliksen, B; Depledge, MH; Jones, MB</t>
  </si>
  <si>
    <t>Polar bivalves are characterized by high antioxidant defences</t>
  </si>
  <si>
    <t>OXIDANT SCAVENGING CAPACITY; SCALLOP ADAMUSSIUM-COLBECKI; LATERNULA-ELLIPTICA KING; MEDITERRANEAN SCALLOPS; PROTEIN-SYNTHESIS; OXIDATIVE STRESS; SEASONAL-CHANGES; YOLDIA-EIGHTSI; GEORGE ISLAND; SIGNY ISLAND</t>
  </si>
  <si>
    <t>Inevitably, aerobic life leads to the formation of deleterious reactive oxygen species (ROS) which participate in biomolecule oxidation, hence augmenting biomolecule turnover. Organisms have adapted to counteract the noxious effects of ROS by developing a battery of antioxidant defences (AOX) which comprise enzymes and low-molecular weight scavengers. Past studies have reported elevated AOX levels in polar pectinid bivalves compared with temperate congeners. This finding is controversial as mitochondrial ROS generation is low in polar versus temperate species, and, to date, there is no generally accepted explanation of the causes of increased basal AOX levels in polar waters. We suggest that the low food availability in those ecosystems may result in polar marine ectotherms diverting some energy into the maintenance of high AOX. We tested this hypothesis by comparing the total oxyradical scavenging capacity (peroxyl, hydroxyl and peroxynitrite) of three clam species: Laternula elliptica (Antarctic), Mya truncata (Arctic) and Mya arenaria (temperate). The data confirmed that polar bivalves are characterized by higher AOX. Herein, we propose that high AOX is required in environments characterized by low food availability as AOX efficiently protects biomolecules, notably the RNA expressed at high levels by cold-water ectotherms. Also, high AOX may explain the relatively long lifespan of most polar ectotherms.</t>
  </si>
  <si>
    <t>Polar Environm Ctr, NO-9296 Tromso, Norway; Univ Ctr Svalbard, NO-9170 Longyearbyen, Norway; Univ Plymouth, Sch Biol Sci, Plymouth PL4 8AA, Devon, England</t>
  </si>
  <si>
    <t>University Centre Svalbard (UNIS); University of Plymouth</t>
  </si>
  <si>
    <t>Polar Environm Ctr, NO-9296 Tromso, Norway.</t>
  </si>
  <si>
    <t>lc@akvaplan.niva.no</t>
  </si>
  <si>
    <t>Depledge, Michael/0000-0002-7216-0439</t>
  </si>
  <si>
    <t>10.1111/j.1751-8369.2005.tb00144.x</t>
  </si>
  <si>
    <t>WOS:000230738900010</t>
  </si>
  <si>
    <t>Okuno, T; Nakano, Y; Yoshida, K; Yokoyama, K; Hamaguchi, M; Yano, K; Matsuo, M</t>
  </si>
  <si>
    <t>Morphology and mechanical property of nylon 6 fibers in the flags exposed on the route between Syowa Station and Dome Fuji in the Antarctic</t>
  </si>
  <si>
    <t>POLYMER JOURNAL</t>
  </si>
  <si>
    <t>degradation of fibers; color fading of the flag; the Antarctic; disappearance of the skin part</t>
  </si>
  <si>
    <t>ULTRAVIOLET-RADIATION; PERSONAL DOSIMETRY; OUTDOOR ACTIVITIES; UV-RADIATION; PSORIASIS; CHILDREN; WORKERS</t>
  </si>
  <si>
    <t>Degradation of fibers in the flags as well as color fading of the flags exposed in the Antarctic was investigated as one of indirect methods to take care of health for a number of scientists who study scientific works in out-door during the summer season. Because, it is anxious that the disruption of an ozone layer by freon-gas causes serious health impediments such as the occurrence of skin cancer and the denaturation of a gene, which endangers the life of human. The flags were set on the route between Syowa Station and Dome Fuji in the Antarctic for one year from the beginning of December 1994 to the end of November 1995. The original fibers with a circular cross section showed fiat and smooth surface, while the fibers within the flag exposed on the route showed a weave-like shape by the disappearance of the skin parts. Such violent disruption was not observed for the flags exposed under mild weather in Japan. Because the average irradiation of an ultraviolet ray at the Antarctic as reported is about twice as that at Nishinomiya City observed as an example of mild weather in Japan.</t>
  </si>
  <si>
    <t>Nara Womens Univ, Fac Human Life &amp; Environm, Nara 6308263, Japan; NARO, NARC, Lab Agrometeorol, Hokuriku Res Ctr, Joetsu 9430193, Japan; Mukogawa Womens Univ, Fac Human Environm Sci, Nishinomiya, Hyogo 6638558, Japan</t>
  </si>
  <si>
    <t>Nara Womens University; National Agriculture &amp; Food Research Organization - Japan; Mukogawa Women's University</t>
  </si>
  <si>
    <t>Matsuo, M (corresponding author), Nara Womens Univ, Fac Human Life &amp; Environm, Nara 6308263, Japan.</t>
  </si>
  <si>
    <t>m-matsuo@cc.nara-wu.ac.jp</t>
  </si>
  <si>
    <t>75 VARICK ST, 9TH FLR, NEW YORK, NY 10013-1917 USA</t>
  </si>
  <si>
    <t>0032-3896</t>
  </si>
  <si>
    <t>1349-0540</t>
  </si>
  <si>
    <t>POLYM J</t>
  </si>
  <si>
    <t>Polym. J.</t>
  </si>
  <si>
    <t>10.1295/polymj.37.169</t>
  </si>
  <si>
    <t>Polymer Science</t>
  </si>
  <si>
    <t>907SG</t>
  </si>
  <si>
    <t>WOS:000227737600005</t>
  </si>
  <si>
    <t>Tata Institut Fundamental Res</t>
  </si>
  <si>
    <t>Romero-Wolf, A.; Ave, M.; Boyle, P.; Gahbauer, F.; Hoppner, C.; Hoerandel, J.; Ichimura, M.; Mueller, D.; Wakely, S.</t>
  </si>
  <si>
    <t>Proceedings of the 29th International Cosmic Ray Conference, Vol 3: OG1</t>
  </si>
  <si>
    <t>Gahbauer, Florian/M-8734-2019; Pernas, Maximo Ave/L-3780-2017</t>
  </si>
  <si>
    <t>Gahbauer, Florian/0000-0002-7126-2513; Horandel, Jorg/0000-0001-6604-547X</t>
  </si>
  <si>
    <t>TATA INST FUNDAMENTAL RESEARCH</t>
  </si>
  <si>
    <t>MUMBAI</t>
  </si>
  <si>
    <t>HOMI BHABHA MARG, NAVY NAGAR, COLABA, MUMBAI, MH-400005, INDIA</t>
  </si>
  <si>
    <t>Astronomy &amp; Astrophysics; Instruments &amp; Instrumentation; Physics, Particles &amp; Fields</t>
  </si>
  <si>
    <t>Astronomy &amp; Astrophysics; Instruments &amp; Instrumentation; Physics</t>
  </si>
  <si>
    <t>BFO86</t>
  </si>
  <si>
    <t>WOS:000243522100025</t>
  </si>
  <si>
    <t>Jones, WV; Pierce, D; Gregory, D; Said, M; Fairbrother, D; Stuchlik, D; Reddish, J; Thompson, L; Estep, R; Merritt, B; Cathey, H; Bohaboj, T; Garde, G; Young, L</t>
  </si>
  <si>
    <t>Jones, W. V.; Pierce, D.; Gregory, D.; Said, M.; Fairbrother, D.; Stuchlik, D.; Reddish, J.; Thompson, L.; Estep, R.; Merritt, B.; Cathey, H.; Bohaboj, T.; Garde, G.; Young, L.</t>
  </si>
  <si>
    <t>Meeting the challenge of balloon-borne science missions</t>
  </si>
  <si>
    <t>The National Aeronautics and Space Administration (NASA) Balloon Program is committed to meeting the challenge of the science community to enable extended duration and global scientific investigations based on the development of advanced balloon vehicles and support systems. It is also committed to inspiring future generations of scientists and engineers through active educational outreach activities and student launch programs. The Swedish Space Corporation/Esrange and NASA inaugurated a joint capability for medium-duration heavy-load scientific balloon flights from Sweden to Canada or Alaska beginning in June 2005. This capability will complement the NASA/U.S. National Science Foundation (NSF) Office of Polar Programs achievement of more than a decade of successful long-duration flights around Antarctica. Typically, Antarctic flights circumnavigate the South Pole one time, in 8 to 20 days using conventional zero differential pressure balloons. One flight has circumnavigated twice in 31 days, and another went three times around in 42 days. A new super-pressure (constant volume) balloon is currently under development for future flights of 60 to 100 days at any latitude.</t>
  </si>
  <si>
    <t>NASA, Sci Miss Directorate, Washington, DC 20546 USA</t>
  </si>
  <si>
    <t>Jones, WV (corresponding author), NASA, Sci Miss Directorate, Washington, DC 20546 USA.</t>
  </si>
  <si>
    <t>WOS:000243522100101</t>
  </si>
  <si>
    <t>Zinn, SY; Ahn, HS; Allison, P; Bagliesi, MG; Beatty, JJ; Bigongiari, G; Boyle, P; Childers, JT; Conklin, NB; Coutu, S; DuVernois, MA; Ganel, O; Han, JH; Hyun, HJ; Jeon, JA; Kim, KC; Lee, JK; Lutz, L; Maestro, P; Malinine, A; Marrocchesi, PS; Minnick, S; Mognet, SI; Nam, SW; Nutter, S; Park, NH; Park, H; Park, IH; Seo, ES; Sina, R; Swordy, S; Wakely, S; Wu, J; Yang, J; Yoon, YS; Zei, R</t>
  </si>
  <si>
    <t>Zinn, S. Y.; Ahn, H. S.; Allison, P.; Bagliesi, M. G.; Beatty, J. J.; Bigongiari, G.; Boyle, P.; Childers, J. T.; Conklin, N. B.; Coutu, S.; DuVernois, M. A.; Ganel, O.; Han, J. H.; Hyun, H. J.; Jeon, J. A.; Kim, K. C.; Lee, J. K.; Lutz, L.; Maestro, P.; Malinine, A.; Marrocchesi, P. S.; Minnick, S.; Mognet, S., I; Nam, S. W.; Nutter, S.; Park, N. H.; Park, H.; Park, I. H.; Seo, E. S.; Sina, R.; Swordy, S.; Wakely, S.; Wu, J.; Yang, J.; Yoon, Y. S.; Zei, R.</t>
  </si>
  <si>
    <t>The data acquisition software, system of the 2004/2005 CREAM experiment</t>
  </si>
  <si>
    <t>During the 2004/2005 Antarctic campaign, CREAM (Cosmic Ray Energetics And Mass) had a record-breaking flight of about 42 days and of three circumnavigations around the continent. The CREAM data acquisition software system (CDAQ) has provided excellent stability and robustness. The design and overall flight performance of CDAQ is presented. During the flight, CDAQ collected physics, calibration, pedestal, and housekeeping events and sent them to University of Maryland via NASA's Command Data Modules (CDMs), satellites, and support centers. The interfaces, not only to the instrument but also to the telemetry support infrastructures, are described in some details.</t>
  </si>
  <si>
    <t>Univ Maryland, Dept Phys, College Pk, MD 20742 USA</t>
  </si>
  <si>
    <t>University System of Maryland; University of Maryland College Park</t>
  </si>
  <si>
    <t>Zinn, SY (corresponding author), Univ Maryland, Dept Phys, College Pk, MD 20742 USA.</t>
  </si>
  <si>
    <t>Beatty, James/D-9310-2011; , ES/AAN-2324-2020; Yoon, Young Soo/O-8580-2014; maestro, paolo/E-3280-2010; /N-9068-2015</t>
  </si>
  <si>
    <t>Beatty, James/0000-0003-0481-4952; Yoon, Young Soo/0000-0001-7023-699X; maestro, paolo/0000-0002-4193-1288; Bigongiari, Gabriele/0000-0003-3691-0826; Lee, Moo Hyun/0000-0002-4082-1677; /0000-0003-1966-140X; Coutu, Stephane/0000-0003-2923-2246; Seo, Eun-Suk/0000-0001-8682-805X</t>
  </si>
  <si>
    <t>WOS:000243522100110</t>
  </si>
  <si>
    <t>Stamatikos, M; Kurtzweil, J; Clarke, MJ</t>
  </si>
  <si>
    <t>Tata Institute Fundamental Res</t>
  </si>
  <si>
    <t>Stamatikos, Michael; Kurtzweil, Jenny; Clarke, Melanie J.</t>
  </si>
  <si>
    <t>IceCube Collaboration</t>
  </si>
  <si>
    <t>Probing for leptonic signatures from GRB030329 with AMANDA-II</t>
  </si>
  <si>
    <t>PROCEEDINGS OF THE 29TH INTERNATIONAL COSMIC RAY CONFERENCE, VOL 4: OG 2.1, 2.2 &amp; 2.3</t>
  </si>
  <si>
    <t>The discovery of high-energy (TeV-PeV) neutrinos from gamma-ray bursts (GRBs) would shed fight on their intrinsic microphysics by confirming hadronic acceleration in the relativistic jet; possibly revealing an acceleration mechanism for the highest energy cosmic rays. We describe an analysis featuring three models based upon confronting the fireball phenomenology with ground-based and satellite observations of GRB030329, which triggered the High Energy Transient Explorer (HETE-II). Contrary to previous diffuse searches, the expected discrete muon neutrino energy spectra for models I and 2, based upon an isotropic and beamed emission geometry, respectively, are directly derived from the fireball description of the prompt gamma-ray photon energy spectrum, whose spectral fit parameters are characterized by the Band function, and the spectroscopically observed redshift, based upon the associated optical transient (OT) afterglow. For comparison, we also consider a model (3) based upon averaged burst parameters and isotropic emission. Strict spatial and temporal constraints (based upon electromagnetic observations), in conjunction with a single, robust selectlon criterion (optimized for discovery) have been leveraged to realize a nearly background-free search, with nominal signal loss, using archived data from the Antarctic Muon and Neutrino Detector Array (AMANDA-II). Our preliminary results are consistent with a null signal detection, with a peak muon neutrino effective area of similar to 80 m(2) at similar to 2 PeV and a flux upper Emit of similar to 0.150 GeV/cm(2)/s for model 1. Predictions for IceCube, AMANDA's kilometer scale successor, are compared with those found in the literature. Implications for correlative searches are discussed.</t>
  </si>
  <si>
    <t>Stamatikos, M (corresponding author), Univ Wisconsin, Dept Phys, 1150 Univ Ave, Madison, WI 53706 USA.</t>
  </si>
  <si>
    <t>michael.stamatikos@icecube.wisc.edu</t>
  </si>
  <si>
    <t>Sánchez, Juan Antonio Aguilar/H-4467-2015</t>
  </si>
  <si>
    <t>BFO98</t>
  </si>
  <si>
    <t>WOS:000243524200121</t>
  </si>
  <si>
    <t>Münich, K</t>
  </si>
  <si>
    <t>Muenich, K.</t>
  </si>
  <si>
    <t>IceCube collaboration</t>
  </si>
  <si>
    <t>Search for a diffuse flux of non-terrestrial muon neutrinos with the AMANDA detector</t>
  </si>
  <si>
    <t>PROCEEDINGS OF THE 29TH INTERNATIONAL COSMIC RAY CONFERENCE, VOL 5: OG 2.5, 2.6 &amp; 2.7</t>
  </si>
  <si>
    <t>Over the past decade, many extragalactic source types have been suggested as potential sources for the ultrahigh energy cosmic ray flux. Assuming hadronic particle acceleration in these sources, a diffuse neutrino flux may be produced along with the charged cosmic ray component. In the presence of a high background of atmospheric neutrinos, no extragalactic neutrino signal has been observed yet. In this. paper, a new analysis to investigate with the Antarctic Muon And Neutrino Detector Array (AMANDA-II) a possible extragalactic component in addition to the atmospheric neutrino flux is presented. The analysis is based on the year 2000 data. Using an unfolding method, it is shown that the spectrum follows the atmospheric neutrino flux prediction [ 1] up to energies above 100 GeV. A limit on the extraterrestrial contribution is obtained from the application of a confidence interval construction to the unfolding problem.</t>
  </si>
  <si>
    <t>Univ Dortmund, Inst Phys, D-44221 Dortmund, Germany</t>
  </si>
  <si>
    <t>Dortmund University of Technology</t>
  </si>
  <si>
    <t>Münich, K (corresponding author), Univ Dortmund, Inst Phys, D-44221 Dortmund, Germany.</t>
  </si>
  <si>
    <t>muenich@physik.uni-dortmund.de</t>
  </si>
  <si>
    <t>BFO99</t>
  </si>
  <si>
    <t>WOS:000243524500005</t>
  </si>
  <si>
    <t>DuVernois, MA; Barwick, SW; Beatty, JJ; Besson, DW; Binns, WR; Cai, B; Clem, JM; Connolly, A; Dowkontt, PF; Evenson, PA; Goldstein, D; Gorham, PW; Herbert, CL; Israel, MH; Learned, JG; Liewer, KM; Link, JT; Lusczek, E; Matsuno, S; Miocinovic, P; Nam, J; Naudet, CJ; Nichol, R; Palladino, K; Rosen, M; Saltzberg, D; Seckel, D; Silvestri, A; Stokes, B; Varner, GS; Williams, D; Wu, F</t>
  </si>
  <si>
    <t>DuVernois, M. A.; Barwick, S. W.; Beatty, J. J.; Besson, D. W.; Binns, W. R.; Cai, B.; Clem, J. M.; Connolly, A.; Dowkontt, P. F.; Evenson, P. A.; Goldstein, D.; Gorham, P. W.; Herbert, C. L.; Israel, M. H.; Learned, J. G.; Liewer, K. M.; Link, J. T.; Lusczek, E.; Matsuno, S.; Miocinovic, P.; Nam, J.; Naudet, C. J.; Nichol, R.; Palladino, K.; Rosen, M.; Saltzberg, D.; Seckel, D.; Silvestri, A.; Stokes, B.; Varner, G. S.; Williams, D.; Wu, F.</t>
  </si>
  <si>
    <t>Radio detection of UHE neutrinos with the Antarctic impulsive transient antenna (ANITA) experiment: Data and analysis</t>
  </si>
  <si>
    <t>Proceedings of the 29th International Cosmic Ray Conference, Vol 5: OG 2.5, 2.6 &amp; 2.7</t>
  </si>
  <si>
    <t>EMISSION; SPECTRUM; CHARGE</t>
  </si>
  <si>
    <t>The ANITA experiment is a balloon-borne radio-pulse detector system designed to measure Ultra-High Energy (UHE) neutrinos interacting in the Antarctic ice utilizing the distinct broadband radio pulse due to the Askaryan effect. The radio-transparent ice serves as a target volume for the production of these pulses. ANITA will have an effective viewing area of over one million km(2) of ice at float altitude (similar to 37 km). A prototype experiment, ANITA-LITE, was flown during the 2003-2004 Austral Summer from Antarctica to perform an impulsive RF background survey of Antarctica. In the process, it has yielded strong constraints on UHE neutrinos, ruling out some theoretical models. We also discuss the expected instrument performance for the first full ANITA flight, planned for a 2006 Austral Summer launch out of McMurdo, Antarctica.</t>
  </si>
  <si>
    <t>Univ Hawaii Manoa, Dept Phys &amp; Astron, Honolulu, HI 96822 USA</t>
  </si>
  <si>
    <t>DuVernois, MA (corresponding author), Univ Hawaii Manoa, Dept Phys &amp; Astron, Honolulu, HI 96822 USA.</t>
  </si>
  <si>
    <t>Beatty, James/D-9310-2011; Nichol, Ryan/C-1645-2008</t>
  </si>
  <si>
    <t>Beatty, James/0000-0003-0481-4952; Nichol, Ryan/0000-0003-0557-0443; Lusczek, Elizabeth/0000-0003-4680-965X; Goldstein, David/0000-0003-3654-8142; Gorham, Peter/0000-0002-0923-9363</t>
  </si>
  <si>
    <t>WOS:000243524500028</t>
  </si>
  <si>
    <t>Kravchenko, I; Cooley, C; Seckel, D; Adams, J; Churchwell, S; Harris, P; Seunarine, S; Wahrlich, P; Bean, A; Besson, D; Graham, S; Holt, S; Hussain, S; Marfatia, D; Mckay, D; Meyers, J; Ralston, J; Schiel, R; Swift, H; Ledford, J; Ratzlaff, K</t>
  </si>
  <si>
    <t>Kravchenko, I.; Cooley, C.; Seckel, D.; Adams, J.; Churchwell, S.; Harris, P.; Seunarine, S.; Wahrlich, P.; Bean, A.; Besson, D.; Graham, S.; Holt, S.; Hussain, S.; Marfatia, D.; McKay, D.; Meyers, J.; Ralston, J.; Schiel, R.; Swift, H.; Ledford, J.; Ratzlaff, K.</t>
  </si>
  <si>
    <t>Updated limits on the ultra-high energy (UHE) neutrino flux from the RICE experiment</t>
  </si>
  <si>
    <t>COSMIC-RAYS</t>
  </si>
  <si>
    <t>The RICE experiment (Radio Ice Cherenkov Experiment) at South Pole consists of an array of dipole antennas designed to detect the coherent radio frequency radiation produced by neutrino-induced showers in the Antarctic ice. We report updated limits on the ultra-high energy neutrino flux, based on RICE data taken between 2000 and 2004. These limits also reflect improvements in Monte Carlo simulations and detector modeling.</t>
  </si>
  <si>
    <t>MIT, Nucl Sci Lab, Cambridge, MA 02139 USA</t>
  </si>
  <si>
    <t>Kravchenko, I (corresponding author), MIT, Nucl Sci Lab, 77 Massachusetts Ave, Cambridge, MA 02139 USA.</t>
  </si>
  <si>
    <t>ikrav@fnal.gov</t>
  </si>
  <si>
    <t>Ralston, John/0000-0002-9296-6018; Bean, Alice/0000-0001-5967-8674</t>
  </si>
  <si>
    <t>WOS:000243524500032</t>
  </si>
  <si>
    <t>Kuehn, K.</t>
  </si>
  <si>
    <t>IceCube Collaboration; IPN Collaboration</t>
  </si>
  <si>
    <t>The search for neutrinos from gamma-ray bursts with AMANDA</t>
  </si>
  <si>
    <t>The Antarctic Muon and Neutrino Detector Array (AMANDA), located at the South Pole, has been searching the heavens for astrophysical neutrino sources (both discrete and diffuse) since 1997. The AMANDA telescope detects Cerenkov radiation caused by high-energy neutrinos traveling through the nearby ice; here we describe AMANDA's technique to search for neutrinos from gamma-ray bursts, both concurrent with the photon emission and prior to it (during the precursor phase). We present preliminary results from several years (1997-2003) of observations, and we also briefly discuss the current status and future potential of an expanded search for GRBs.</t>
  </si>
  <si>
    <t>Kuehn, K (corresponding author), Univ Calif Irvine, Dept Phys &amp; Astron, Irvine, CA 92697 USA.</t>
  </si>
  <si>
    <t>kuehn@HEP.ps.uci.edu</t>
  </si>
  <si>
    <t>WOS:000243524500034</t>
  </si>
  <si>
    <t>Link, JT; Barwick, SW; Beatty, JJ; Besson, DW; Binns, WR; Cai, B; Clem, JM; Connolly, A; Dowkontt, PF; Duvernois, MA; Evenson, PA; Goldstein, D; Gorham, PW; Herbert, CL; Israel, MH; Learned, JG; Liewer, KM; Lusczek, ER; Matsuno, S; Miocinovic, P; Nam, J; Naudet, CJ; Nichol, RJ; Palladino, KJ; Rosen, M; Saltzberg, D; Seckel, D; Silvestri, A; Stokes, BT; Varner, GS; Williams, D; Wu, F</t>
  </si>
  <si>
    <t>Link, J. T.; Barwick, S. W.; Beatty, J. J.; Besson, D. W.; Binns, W. R.; Cai, B.; Clem, J. M.; Connolly, A.; Dowkontt, P. F.; Duvernois, M. A.; Evenson, P. A.; Goldstein, D.; Gorham, P. W.; Herbert, C. L.; Israel, M. H.; Learned, J. G.; Liewer, K. M.; Lusczek, E. R.; Matsuno, S.; Miocinovic, P.; Nam, J.; Naudet, C. J.; Nichol, R. J.; Palladino, K. J.; Rosen, M.; Saltzberg, D.; Seckel, D.; Silvestri, A.; Stokes, B. T.; Varner, G. S.; Williams, D.; Wu, F.</t>
  </si>
  <si>
    <t>Radio detection of UHE neutrinos with the antarctic impulsive transient antenna (ANITA) experiment: Instrumentation</t>
  </si>
  <si>
    <t>ANITA is a balloon home radio telescope designed to detect the interactions of ultra-high energy (UHE) neutrinos (&gt; 3 x 10(18) eV) in the Antarctic ice cap. These interactions produce Cherenkov radiation in the form of a distinct broadband radio pulse known as the Askaryan effect. The pure, radio transparent Antarctic ice cap serves as an almost ideal medium for the generation of these pulses and ANITA will have an effective viewing area of one million km(2) at float altitude. A prototype experiment, ANITA-LITE was flown during the 2003/2004 Austral summer from Antarctica to do an impulsive RF background survey. We present a discussion of the instrumentation and technique we will use to utilize the ice cap as a detector to measure the UHE neutrino flux.</t>
  </si>
  <si>
    <t>Univ Hawaii, Dept Phys &amp; Astron, Honolulu, HI 96822 USA</t>
  </si>
  <si>
    <t>University of Hawaii System</t>
  </si>
  <si>
    <t>Link, JT (corresponding author), Univ Hawaii, Dept Phys &amp; Astron, Honolulu, HI 96822 USA.</t>
  </si>
  <si>
    <t>Nichol, Ryan/C-1645-2008; Beatty, James/D-9310-2011</t>
  </si>
  <si>
    <t>Nichol, Ryan/0000-0003-0557-0443; Beatty, James/0000-0003-0481-4952; Lusczek, Elizabeth/0000-0003-4680-965X; Goldstein, David/0000-0003-3654-8142; Gorham, Peter/0000-0002-0923-9363</t>
  </si>
  <si>
    <t>WOS:000243524500105</t>
  </si>
  <si>
    <t>Smith, R</t>
  </si>
  <si>
    <t>Chan, SD</t>
  </si>
  <si>
    <t>The penguin puffin coast, New Beginnings</t>
  </si>
  <si>
    <t>Proceedings of the 31st National Conference of the American Association of Zoo Keepers</t>
  </si>
  <si>
    <t>31st National Conference of the American-Association-of-Zoo-Keepers</t>
  </si>
  <si>
    <t>SEP 26-30, 2004</t>
  </si>
  <si>
    <t>Dallas, TX</t>
  </si>
  <si>
    <t>On 23 May 2003, the St. Louis Zoological Park opened the Penguin and Puffin Coast. This exhibit is one of the most unique indoor polar bird displays in North America. Zoo visitors walk through an open-air aviary, where they are immersed in sub-Antarctic and arctic environments highlighted by penguins and puffins. The purpose of this paper is to give an overview of the Penguin and Puffin Coast. It will examine the challenges and successes of opening a new exhibit, conditioning and training sea birds, and finally, it will reflect the importance of team building. There will also be brief descriptions and comparisons of husbandry techniques. Discussions will show how the new exhibit contributes to the St. Louis community and provides opportunity for seabird conservation worldwide.</t>
  </si>
  <si>
    <t>St Louis Zoo, St Louis, MO USA</t>
  </si>
  <si>
    <t>Smith, R (corresponding author), St Louis Zoo, St Louis, MO USA.</t>
  </si>
  <si>
    <t>AMERICAN ASSOCIATION OF ZOO KEEPERS INC</t>
  </si>
  <si>
    <t>TOPEKA</t>
  </si>
  <si>
    <t>3601 SW 29TH ST, SUITE 133, TOPEKA, KS 66614 USA</t>
  </si>
  <si>
    <t>1-929672-13-6</t>
  </si>
  <si>
    <t>Veterinary Sciences; Zoology</t>
  </si>
  <si>
    <t>BCC63</t>
  </si>
  <si>
    <t>WOS:000228604500005</t>
  </si>
  <si>
    <t>Epchtein, N; Busso, M</t>
  </si>
  <si>
    <t>Wilson, A</t>
  </si>
  <si>
    <t>A thermal IR large scale imaging survey from Antarctica</t>
  </si>
  <si>
    <t>PROCEEDINGS OF THE DUSTY AND MOLECULAR UNIVERSE: A PRELUDE TO HERSCHEL AND ALMA</t>
  </si>
  <si>
    <t>ESA SPECIAL PUBLICATIONS</t>
  </si>
  <si>
    <t>Conference on the Dusty and Molecular Universe</t>
  </si>
  <si>
    <t>OCT 27-29, 2004</t>
  </si>
  <si>
    <t>infrared; survey</t>
  </si>
  <si>
    <t>We describe a project to achieve a large scale, high angular resolution, ultra deep survey in the 2.3-5.5 mu m range, possibly extended to 10-20 mu m, from the Italo-French antarctic station CONCORDIA at Dome C. It would extend the recently achieved 2-mu m surveys toward a still little explored spectral range, at large scale. A passively cooled 3-meter collector equipped with a large mosaic of arrays would provide better sensitivity and angular resolution than IRAC on board Spitzer and the WISE mission, and single out new targets for Herschell, ALMA and the JWST The new proposed instrument will be extremely powerful, e.g., for the quest of very low luminosity stars, extreme AGB-stars, deep exploration of highly obscured regions in galaxies.</t>
  </si>
  <si>
    <t>Univ Nice, LUAN, CNRS, UMR 6525, Nice, France</t>
  </si>
  <si>
    <t>CHU Nice; Centre National de la Recherche Scientifique (CNRS); Universite Cote d'Azur; Observatoire de la Cote d'Azur</t>
  </si>
  <si>
    <t>Epchtein, N (corresponding author), Univ Nice, LUAN, CNRS, UMR 6525, Nice, France.</t>
  </si>
  <si>
    <t>Busso, Maurizio Maria/K-7075-2015</t>
  </si>
  <si>
    <t>Busso, Maurizio Maria/0000-0001-8944-5820</t>
  </si>
  <si>
    <t>ESA PUBLICATIONS DIVISION C/O ESTEC</t>
  </si>
  <si>
    <t>2200 AG NOORDWIJK</t>
  </si>
  <si>
    <t>PO BOX 299, 2200 AG NOORDWIJK, NETHERLANDS</t>
  </si>
  <si>
    <t>0379-6566</t>
  </si>
  <si>
    <t>ESA SP PUBL</t>
  </si>
  <si>
    <t>BBR24</t>
  </si>
  <si>
    <t>WOS:000227350800134</t>
  </si>
  <si>
    <t>Hayes, DH; Jenkins, A; McPhail, S</t>
  </si>
  <si>
    <t>Surface wave decay and directional spectra in the marginal sea ice zone measured by an autonomous underwater vehicle</t>
  </si>
  <si>
    <t>PROCEEDINGS OF THE IEEE/OES EIGHTH WORKING CONFERENCE ON CURRENT MEASUREMENT TECHNOLOGY - PROCEEDINGS</t>
  </si>
  <si>
    <t>IEEE Working Conference on Current Measurement Technology</t>
  </si>
  <si>
    <t>8th Working Conference on Current Measurement Technology</t>
  </si>
  <si>
    <t>JUN 28-29, 2005</t>
  </si>
  <si>
    <t>Stoughton, WI</t>
  </si>
  <si>
    <t>OCEAN; ATTENUATION; FIELD</t>
  </si>
  <si>
    <t>The March 2003 deployment of Autosub in the Antarctic was the first field study under the Autosub Under Ice program of the UK Natural Environment Research Council. Several missions were run under sea ice in the western Bellingshausen Sea at depths ranging from 90 to 200 m. Data from the upward-looking ADCP on the autonomous underwater vehicle (AUV) indicate a strongly oscillating horizontal velocity of the ice underside due to ocean swell. Swell period, height, direction, and directional spread are computed every 800 m from the ice edge to 10 km inward. To our knowledge, these are the first scalar and directional wave data collected by an AUV under sea ice. We observe exponential, period-dependent attenuation of waves propagating through sea ice. Mean period increases with distance from the ice edge. Directional spectra show gradual changes in swell properties during propagation through the ice pack. The wave field appears to refract during propagation. The spread does not seem to relate to distance from the ice edge. More under-ice runs and modeling are needed to confirm these observations. If suitably deployed, an ordinary ADCP may be used with this technique to study waves in open or ice-covered water, both scalar and directional properties.</t>
  </si>
  <si>
    <t>Univ Cyprus, Oceanog Ctr, Nicosia, Cyprus</t>
  </si>
  <si>
    <t>University of Cyprus</t>
  </si>
  <si>
    <t>Hayes, DH (corresponding author), Univ Cyprus, Oceanog Ctr, POB 20537, Nicosia, Cyprus.</t>
  </si>
  <si>
    <t>dhayes@ucy.ac.cy</t>
  </si>
  <si>
    <t>1085-7990</t>
  </si>
  <si>
    <t>0-7803-8989-1</t>
  </si>
  <si>
    <t>WORK C CURR MEASUREM</t>
  </si>
  <si>
    <t>10.1109/CCM.2005.1506330</t>
  </si>
  <si>
    <t>Acoustics; Instruments &amp; Instrumentation; Remote Sensing</t>
  </si>
  <si>
    <t>BCS53</t>
  </si>
  <si>
    <t>WOS:000231050900007</t>
  </si>
  <si>
    <t>Harcourt, RR</t>
  </si>
  <si>
    <t>Thermobaric cabbeling over Maud Rise: Theory and large eddy simulation</t>
  </si>
  <si>
    <t>PROGRESS IN OCEANOGRAPHY</t>
  </si>
  <si>
    <t>cabbeling; thermobaricity; large eddy simulation; convection; sea ice; polynyas</t>
  </si>
  <si>
    <t>OCEAN DEEP CONVECTION; GREENLAND SEA; MIXED-LAYER; SALINITY STRUCTURE; LABRADOR SEA; ENERGY FLUX; WEDDELL SEA; HEAT-FLUX; TEMPERATURE; WATER</t>
  </si>
  <si>
    <t>A Large Eddy Simulation (LES) of the wintertime upper ocean below seasonal Antarctic ice cover over Maud Rise was carried out using observed time-dependent surface forcing from 1994 Antarctic Zone Flux Experiment (ANZ-FLUX) observations. Surface ice formation increases the density of the cold, fresher Surface Mixed Layer (SML), that overlies warmer, saltier Weddell Deep Water (WDW). This reduces the stability of the thermocline until it reaches a critical point for instabilities arising from the nonlinear equation of state (NES) for seawater density p. This simulation was intended to model the thermobaric detrainment of SML fluid, a NES instability predicted to result from the dependence of seawater density on the product OP of temperature and pressure. Instead, model results demonstrate a different instability arising from the combination of thermobaricity with cabbeling, the NES effect due primarily to the dependence of p on theta(2). This combined thermobaric cabbeling instability drives turbulent convection in a deep interior mixed layer (IML) that may grow hundreds of meters thick below the thermocline, largely decoupled from SML dynamics. In the LES, thermobaric cabbeling and IML convection shoals the SML through entrainment from below until ice motion increases in the observationally-based model forcing. Increased upper ocean model heat flux due to higher ice speed melts surface ice, increasing thermocline stratification and eventually bringing the simulated instability to a halt. In an auxiliary simulation the lull preceding strong ice motion in field observations is artificially extended by temporarily holding model surface forcing constant until the SML shoals entirely, bringing the modified WDW of the IML, 2 degrees C above freezing, directly to the surface. Subsequently, reverting to the observed surface forcing and its attendant strong ice motion melts the ice cover entirely, demonstrating a possible mechanism for open ocean Antarctic polynya formation. The same process, as halted prematurely in the LES using the forcing observed, may also be responsible for thick, deep internal layers and localized 'chimney' structures observed in the Weddell Sea. (c) 2005 Elsevier Ltd. All rights reserved.</t>
  </si>
  <si>
    <t>Univ Washington, Appl Phys Lab, Seattle, WA 98105 USA</t>
  </si>
  <si>
    <t>Univ Washington, Appl Phys Lab, 1013 NE 40th St, Seattle, WA 98105 USA.</t>
  </si>
  <si>
    <t>harcourt@apl.washington.edu</t>
  </si>
  <si>
    <t>0079-6611</t>
  </si>
  <si>
    <t>PROG OCEANOGR</t>
  </si>
  <si>
    <t>Prog. Oceanogr.</t>
  </si>
  <si>
    <t>10.1016/j.pocean.2004.12.001</t>
  </si>
  <si>
    <t>017OA</t>
  </si>
  <si>
    <t>WOS:000235701700006</t>
  </si>
  <si>
    <t>Zenk, W; Siedler, G; Ishida, A; Holfort, E; Kashino, Y; Kuroda, Y; Miyama, T; Müller, TJ</t>
  </si>
  <si>
    <t>Pathways and variability of the antarctic intermediate water in the western equatorial pacific ocean</t>
  </si>
  <si>
    <t>antarctic intermediate water; intermediate circulation; Lagrangian observations; numerical circulation model; New Guinea coastal undercurrent; equatorial intermediate currents; equatorial pacific ocean; Bismarck Sea</t>
  </si>
  <si>
    <t>PAPUA-NEW-GUINEA; NORTH PACIFIC; CIRCULATION; CURRENTS; THROUGHFLOW; COAST</t>
  </si>
  <si>
    <t>In the western equatorial Pacific the low-salinity core of Antarctic Intermediate Water (AAIW) is found at about 800 m depth between potential density levels sigma(0) = 27.2 and 27.3. The pathways of AAIW and the degradation of its core are studied, from the Bismarck Sea to the Caroline Basins and into the zonal equatorial current system. Both historical and new observational data, and results from numerical circulation model runs are used. The observations include hydrographic stations from German and Japanese research vessels, and Eulerian and Lagrangian current measurements. The model is the JAMSTEC high-resolution numerical model based on the Modular Ocean Model (MOM 2). The general agreement between results from the observations and from the model enables us to diagnose properties and to provide new information on the AAIW. The analysis confirms the paramount influence of topography on the spreading of the AAIW tongue north of New Guinea. Two cores of AAIW are found in the eastern Bismarck Sea. One core originates from Vitiaz Strait and one from St. George's Channel, probably arriving on a cyclonic pathway. They merge in the western Bismarck Sea without much change in their total salt content, and the uniform core then increases considerably in salt content when subjected to mixing in the Caroline Basins. Hydrographic and moored current observations as well as model results show a distinct annual signal in salinity and velocity in the AAIW core off New Guinea. It appears to be related to the monsoonal change that is typically found in the near-surface waters in the region. Lagrangian data are used to investigate the structure of the deep New Guinea Coastal Undercurrent, the related cross-equatorial flow and eddy-structure, and the embedment in the zonal equatorial current system. Results from 17 neutrally buoyant RAFOS floats, ballasted to drift in the AAIW core layer, are compared with a numerical tracking experiment. In the model 73 particles are released at five-day intervals from Station J (2.5 degrees N, 142 degrees E), simulating currents at a moored time series station north of New Guinea. Observed and model track patterns are fairly consistent in space and season. Floats cross the equator preferably north of Cenderawasih Bay, with a maximum range in eddy-motion in this region north of New Guinea. The northward route at 135 degrees E is also reflected in a low-salinity tongue reaching up to 3 degrees N. At that longitude the floats seem to ignore the zonally aligned equatorial undercurrents. Farther to the east (139-145 degrees E), however, the float observations are consistent with low-latitude bands of intermediate currents. (c) 2005 Elsevier Ltd. All rights reserved.</t>
  </si>
  <si>
    <t>Univ Kiel, Leibniz Inst Meereswissenschaft, IFM, GEOMAR, D-24105 Kiel, Germany; JAMSTEC, Inst Observ Res Global Change, Yokosuka, Kanagawa, Japan; Univ Hawaii, SOEST, IPRC, Honolulu, HI 96822 USA</t>
  </si>
  <si>
    <t>Helmholtz Association; GEOMAR Helmholtz Center for Ocean Research Kiel; University of Kiel; Japan Agency for Marine-Earth Science &amp; Technology (JAMSTEC); University of Hawaii System</t>
  </si>
  <si>
    <t>Univ Kiel, Leibniz Inst Meereswissenschaft, IFM, GEOMAR, Dusternbrooker Weg 20, D-24105 Kiel, Germany.</t>
  </si>
  <si>
    <t>wzenk@ifm-geomar.de</t>
  </si>
  <si>
    <t>Miyama, Toru/A-3824-2009</t>
  </si>
  <si>
    <t>Miyama, Toru/0000-0002-6400-0312; Kashino, Yuji/0000-0001-8841-6526</t>
  </si>
  <si>
    <t>1873-4472</t>
  </si>
  <si>
    <t>10.1016/j.pocean.2005.05.003</t>
  </si>
  <si>
    <t>WOS:000235701700007</t>
  </si>
  <si>
    <t>Bonnet, D; Richardson, A; Harris, R; Hirst, A; Beaugrand, G; Edwards, M; Ceballos, S; Diekman, R; López-Urrutia, A; Valdes, L; Carlotti, F; Molinero, JC; Weikert, H; Greve, W; Lucic, D; Albaina, A; Yahia, ND; Umani, SF; Miranda, A; dos Santos, A; Cook, K; Robinson, S; de Puelles, MLF</t>
  </si>
  <si>
    <t>An overview of Calanus helgolandicus ecology in European waters</t>
  </si>
  <si>
    <t>Calanus helgolandicus; Europe; time-series; phenology; copepod; distribution; abundance</t>
  </si>
  <si>
    <t>CONTINUOUS PLANKTON RECORDS; DIEL VERTICAL MIGRATION; NORTH-ATLANTIC OCEAN; EGG-PRODUCTION; LIFE-CYCLE; PSEUDOCALANUS-ELONGATUS; INTERANNUAL VARIABILITY; ZOOPLANKTON COMMUNITY; POPULATION-DYNAMICS; COASTAL WATERS</t>
  </si>
  <si>
    <t>We review current knowledge and understanding of the biology and ecology of the calanoid copepod Calanus helgolandicus in European waters, as well as provide a collaborative synthesis of data from 18 laboratories and 26 sampling stations in areas distributed from the northern North Sea to the Aegean and Levantine Seas. This network of zooplankton time-series stations has enabled us to collect and synthesise seasonal and multi-annual data on abundance, body size, fecundity, hatching success and vertical distribution of C helgolandicus. An aim was to enable comparison with its congener Calanus finmarchicus, which has been studied intensively as a key component of European and north east Atlantic marine ecosystems. C finmarchicus is known to over-winter at depth, whereas the life-cycle of C helgolandicus is less well understood. Overwintering populations of C helgolandicus have been observed off the Atlantic coast between 400 and 800 m, while in the Mediterranean there is evidence of significant deep-water populations at depths as great as 4200 m. The biogeographical distribution of C helgolandicus in European coastal waters covers a wide range of habitats, from open ocean to coastal environments, and its contribution to mesozooplankton biomass ranges from 6 % to 93 %. Highest abundances were recorded in the Adriatic and off the west coast of Spain. C helgolandicus is generally found in 9-20 degrees C water, with maximum abundances from 13-17 degrees C. In contrast, C finmarchicus is found in cooler water between 0 and 15 degrees C, with peak abundances from 0 to 9 degrees C. As water has warmed in the North Atlantic over recent decades, the range of C. helgolandicus and its abundance on the fringes of its expanding range have increased. This review will facilitate development of population models of C. helgolandicus. This will not only help answer remaining questions but will improve our ability to forecast future changes, in response to a warming climate, in the abundance and distribution of this important species. (c) 2005 Elsevier Ltd. All rights reserved.</t>
  </si>
  <si>
    <t>Plymouth Marine Lab, Prospect Pl, Plymouth PL1 3DH, Devon, England; Sir Alister Hardy Fdn Ocean Sci Lab, Plymouth PL1 2PB, Devon, England; British Antarctic Survey, Cambridge CB3 0ET, England; Univ Sci &amp; Technol Lille 1, CNRS, UMR 80 13, ELICO,Stn Marine, F-62930 Wimereux, France; Univ Oviedo, Dpto Biol Orgnaismos &amp; Sistemas, E-33071 Oviedo, Spain; Leibniz Inst Marine Sci, IfM, GEOMAR, FB3, D-24105 Kiel, Germany; Inst Espanol Oceanog, Gijon 33213, Spain; CNRS, Unite Rech 6535, Marine Endoume Stn, Lab Oceanog &amp; Biogeochim, F-13007 Marseille, France; Univ Hamburg, Inst Hydrobiol &amp; Fischereiwissensch, D-22765 Hamburg, Germany; DESY, German Ctr Marine Biodivers Res, Res Inst Senckenberg, D-22607 Hamburg, Germany; Inst Oceanog &amp; Fisheries, Lab Plankton Ecol, Dubrownik 20001, Croatia; AZTI, Gipzukoa, Spain; Univ 7 Novembre, Fac Sci Bizerte, Zarzouna, Bizerte, Tunisia; Lab Biol Marina, I-34010 Trieste, Italy; Ctr Oceanog Vigo, Inst Espanol Oceanog, Vigo 36280, Spain; Inst Nacl Invest Agr &amp; Pescas, IPIMAR, P-1449006 Lisbon, Portugal; FRS Marine Lab, Aberdeen AB11 9DB, Scotland; Ctr Oceanog Beleares, Inst Espanol Oceanog, Palma de Mallorca 07080, Spain</t>
  </si>
  <si>
    <t>Plymouth Marine Laboratory; UK Research &amp; Innovation (UKRI); Natural Environment Research Council (NERC); NERC British Antarctic Survey; Centre National de la Recherche Scientifique (CNRS); Universite de Lille; University of Oviedo; Helmholtz Association; GEOMAR Helmholtz Center for Ocean Research Kiel; Spanish Institute of Oceanography; Centre National de la Recherche Scientifique (CNRS); University of Hamburg; Senckenberg Gesellschaft fur Naturforschung (SGN); Helmholtz Association; Deutsches Elektronen-Synchrotron (DESY); Croatian Institute of Oceanography &amp; Fisheries (IZOR); AZTI; Universite de Carthage; Spanish Institute of Oceanography; Portuguese Institute of Sea &amp; Fisheries Research (IPIMAR); Spanish Institute of Oceanography</t>
  </si>
  <si>
    <t>Plymouth Marine Lab, Prospect Pl, Plymouth PL1 3DH, Devon, England.</t>
  </si>
  <si>
    <t>BODE@mail.pml.ac.uk</t>
  </si>
  <si>
    <t>Richardson, Anthony J/B-3649-2010; dos Santos, Antonina/B-9055-2011; Ceballos, Sara/K-2469-2014; Miranda, Ana/KBC-5240-2024; Albaina, Aitor/E-6267-2015; Fonda, Serena/H-6753-2012; Hirst, Andrew G/A-6296-2013; Lopez-Urrutia, Angel/L-2636-2014; Lopez-Urrutia, Angel/R-9475-2019; Cook, Kathryn Barbara/ISA-2646-2023; Delphine, BONNET/AGO-3181-2022; Miranda, Ana/L-2682-2014</t>
  </si>
  <si>
    <t>Richardson, Anthony J/0000-0002-9289-7366; dos Santos, Antonina/0000-0002-2238-9315; Ceballos, Sara/0000-0002-7274-5082; Albaina, Aitor/0000-0003-3353-6090; Lopez-Urrutia, Angel/0000-0002-6135-2937; Cook, Kathryn Barbara/0000-0001-8590-3011; Edwards, Martin/0000-0002-5716-4714; BONNET, Delphine/0000-0002-2040-1800; Fernandez de Puelles/0000-0002-2657-1843; Miranda, Ana/0000-0003-4872-0632; Hirst, Andrew/0000-0001-9132-1886; BEAUGRAND, GREGORY/0000-0002-0712-5223</t>
  </si>
  <si>
    <t>10.1016/j.pocean.2005.02.002</t>
  </si>
  <si>
    <t>936ID</t>
  </si>
  <si>
    <t>WOS:000229847800001</t>
  </si>
  <si>
    <t>Kudo, I; Noiri, Y; Imai, K; Nojiri, Y; Nishioka, J; Tsuda, A</t>
  </si>
  <si>
    <t>Primary productivity and nitrogenous nutrient assimilation dynamics during the Subarctic Pacific Iron Experiment for Ecosystem Dynamics Study</t>
  </si>
  <si>
    <t>Fe-fertilization; carbon; phytoplankton; nutrients; subarctic Pacific Ocean</t>
  </si>
  <si>
    <t>ENRICHMENT EXPERIMENT; PHYTOPLANKTON BLOOM; CHLOROPHYLL-A; ANTARCTIC PHYTOPLANKTON; MARINE DIATOM; TRACE-METALS; AMMONIUM; GROWTH; NUTRITION; NITRATE</t>
  </si>
  <si>
    <t>Primary productivity and uptake rates of nitrate and ammonium were measured during an iron enrichment-experiment in the western subarctic Pacific Ocean using stable C-13 and N-15 isotope methods with simulated, on-board, for 24-h incubations. Nitrate, phosphate and silicate before the iron enrichment in the surface mixed layer (0-10 m) were abundant at 17, 1.5 and 34 mu M, respectively. Primary productivity in the upper 20 m ranged from 10 to 30 mg C m(-3) d(-1) on Day 0 (the day of iron fertilization) and did not change Outside the iron patch during 13 days of the observation. Primary productivity in the iron patch increased more than 10-fold after Day 7 and the maximum of 310 mg C m(-3) d(-1) was observed on Day 9. The elevated primary productivity continued until Day 13 (end of the observation). The integrated primary productivity in the photic zone was about 2 g C m(-2) d(-1) after Day 7. During 13 days of the observation, 16.5 g C m(-2) was fixed in the patch, while C fixation was 4.5 g C m(-2) outside. Absolute nitrate uptake at 5 m depth was 0.2 mu M d(-1) on Day 0, almost same as the ammonium uptake rate. Nitrate uptake sharply increased 20 times after Day 7. The maximum rate of 4.2 mu M d(-1) was observed on Day 9. Total nitrate uptake at 5 m between Days 4 and 9 was 10.8 mu M, which was comparable to the net decrease of nitrate at 8.5 mu M at this depth. Uptake rate of ammonium was 0.2 mu M d(-1) on Day 0 and had not changed by Day 13. The f-ratio (a ratio of nitrate uptake to total nitrogen (nitrate and ammonium) uptake) was 0.4-0.6 before Day 4, but increased to 0.95 on Day 7 and remained high until Day 13. These results suggest that the nitrate assimilation pathway was induced by the iron enrichment to meet the high nitrogen demand from rapid growth of the dominant diatom Chaetoceros dedilis. Relative uptake rate among nutrients was estimated from their apparent concentration change at 5 m in the patch. Nitrate and phosphate decreased at a molar ratio of 15.5, close to Redfield's stoichiometry. Silicate to nitrate uptake ratio, however, changed sharply on Day 9 from 1.6 to 3.0, indicating physiological stress on growing diatoms. Photosynthetically active radiation (PAR) at 5 in decreased from 400 to &lt; 100 mu mol m(-2) s(-1) after Day 8 due to the high biomass of phytoplankton within the patch. Dissolved iron concentration also decreased to less than 0.3 nM after Day 9. This concentration was below the half saturation level for iron (K-s) obtained from on-board iron-addition incubations. These results suggest that low light and low iron concentration caused the physiological stress on diatoms after Day 8. (c) 2005 Elsevier Ltd. All rights reserved.</t>
  </si>
  <si>
    <t>Hokkaido Univ, Grad Sch Fisheries Sci, Hakodate, Hokkaido 0418611, Japan; Japan Sci &amp; Technol Corp, Kawaguchi 3320012, Japan; Natl Inst Environm Studies, Tsukuba, Ibaraki 3058606, Japan; Cent Res Inst Elect Power Ind, Abiko, Chiba 2701194, Japan; Univ Tokyo, Ocean Res Inst, Tokyo 1648639, Japan</t>
  </si>
  <si>
    <t>Hokkaido University; Japan Science &amp; Technology Agency (JST); National Institute for Environmental Studies - Japan; Central Research Institute of Electric Power Industry - Japan; University of Tokyo</t>
  </si>
  <si>
    <t>Hokkaido Univ, Grad Sch Fisheries Sci, Hakodate, Hokkaido 0418611, Japan.</t>
  </si>
  <si>
    <t>ikudo@fish.liokudai.ac.jp</t>
  </si>
  <si>
    <t>Nojiri, Yukihiro/D-1999-2010; Nishioka, Jun/F-5314-2011</t>
  </si>
  <si>
    <t>Nojiri, Yukihiro/0000-0001-9885-9195; Nishioka, Jun/0000-0003-1723-9344</t>
  </si>
  <si>
    <t>10.1016/j.pocean.2005.02.009</t>
  </si>
  <si>
    <t>932OG</t>
  </si>
  <si>
    <t>WOS:000229562400008</t>
  </si>
  <si>
    <t>Cieslinski, H; Kur, J; Bialkowska, A; Baran, I; Makowski, K; Turkiewicz, M</t>
  </si>
  <si>
    <t>Cloning, expression, and purification of a recombinant cold-adapted β-galactosidase from antarctic bacterium Pseudoalteromonas sp 22b</t>
  </si>
  <si>
    <t>PROTEIN EXPRESSION AND PURIFICATION</t>
  </si>
  <si>
    <t>cold-adapted beta-galactosidase; Pseudoalteromonas sp; lactose hydrolysis; psychrotrophic microorganisms</t>
  </si>
  <si>
    <t>GENE; SEQUENCE; ENZYMES; GLU-461; SITE</t>
  </si>
  <si>
    <t>The gram-negative antarctic bacterium Pseudoalteromonas sp. 22b, isolated from the alimentary tract of krill Thyssanoessa macrura, synthesizes an intracellular cold-adapted beta-galactosidase. The gene encoding this beta-galactosidase has been PCR amplified, cloned, expressed in Escherichia coli purified, and characterized. The enzyme is active as a homotetrameric protein, and each monomer consists of 1028 amino acid residues. The enzyme was purified to homogeneity (50% recovery of activity) by using the fast, two-step procedure, including affinity chromatography oil PABTG-Sepharose. Enzymatic properties of the recombinant protein are identical to those of native Psendoalteromonas sp. 22b beta-galactosidase. The enzyme is cold-adapted and at 10degreesC retains 20% of maximum activity. The purified enzyme displayed maximum activity close to 40degreesC and at pH of 6.0-8.0. PNPG was its preferred substrate (58% higher activity than against ONPG). The enzyme was particularly thermolabile, losing all activities within 10min at 50degreesC. The hydrolysis of lactose in a milk assay revealed that 90% of milk lactose was hydrolyzed during 6 h at 30degreesC and during 28 h at 15degreesC. Because of its attributes, the recombinant Pseudoalteromonas sp. 22b beta-galactosidase could be applied at refrigeration temperatures for production of lactose-reduced dairy products. (C) 2004 Elsevier Inc. All rights reserved.</t>
  </si>
  <si>
    <t>Gdansk Univ Technol, Dept Microbiol, PL-80952 Gdansk, Poland; Tech Univ Lodz, Inst Tech Biochem, PL-90924 Lodz, Poland</t>
  </si>
  <si>
    <t>Fahrenheit Universities; Gdansk University of Technology; Lodz University of Technology</t>
  </si>
  <si>
    <t>Gdansk Univ Technol, Dept Microbiol, Ul G Narutowicza 11-12, PL-80952 Gdansk, Poland.</t>
  </si>
  <si>
    <t>ktir@chem.pg.gda.pl</t>
  </si>
  <si>
    <t>Sun, wanchun/E-9574-2013; Białkowska, Aneta/P-4481-2019; Cao, Yan/K-5534-2012</t>
  </si>
  <si>
    <t>Sun, wanchun/0000-0003-0663-2255; Białkowska, Aneta/0000-0001-7319-238X; , Hubert/0000-0002-3504-2257; Cieslinski, Hubert/0000-0003-0573-0830</t>
  </si>
  <si>
    <t>1046-5928</t>
  </si>
  <si>
    <t>1096-0279</t>
  </si>
  <si>
    <t>PROTEIN EXPRES PURIF</t>
  </si>
  <si>
    <t>Protein Expr. Purif.</t>
  </si>
  <si>
    <t>10.1016/j.pep.2004.09.002</t>
  </si>
  <si>
    <t>Biochemical Research Methods; Biochemistry &amp; Molecular Biology; Biotechnology &amp; Applied Microbiology</t>
  </si>
  <si>
    <t>885JT</t>
  </si>
  <si>
    <t>WOS:000226153600004</t>
  </si>
  <si>
    <t>Dempsey, JT; Storey, JWV; Phillips, A</t>
  </si>
  <si>
    <t>Auroral contribution to sky brightness for optical astronomy on the Antarctic Plateau</t>
  </si>
  <si>
    <t>PUBLICATIONS OF THE ASTRONOMICAL SOCIETY OF AUSTRALIA</t>
  </si>
  <si>
    <t>atmospheric effects; site testing</t>
  </si>
  <si>
    <t>ELECTRON-PRECIPITATION; PHOTOMETRY; SPECTROSCOPY; MODEL</t>
  </si>
  <si>
    <t>The Antarctic Plateau holds great promise for optical astronomy. One relatively unstudied feature of the polar night sky for optical astronomical observing is the potential contamination of observations by aurorae. In this study we analyse auroral measurements at South Pole Station and show that during an average winter season, the auroral contribution to the B band sky brightness is below 21.9 B mag arcsec(-2) for 50% of the observing time. In V band, the median sky brightness contribution is 20.8 mag arcsec(-2) during an average winter. South Pole Station is situated within the auroral zone and experiences strong and frequent auroral activity. The Antarctic locations of Dome C and Dome A are closer to the geomagnetic pole where auroral activity is greatly reduced compared with that of South Pole Station. Calculations based on satellite measurements of electron flux above the Antarctic Plateau are used to show that at Dome C, the contribution to sky background in the B and V bands is up to 3.1 mag less than that at the South Pole. The use of notch filters to reduce the contribution from the strongest auroral emission lines and bands is also discussed. The scientific potential of an extremely large telescope located at Dome C is discussed, with reference to the effect that auroral emissions would have on particular astronomical observations.</t>
  </si>
  <si>
    <t>j.storey@unsw.edu.au</t>
  </si>
  <si>
    <t>1323-3580</t>
  </si>
  <si>
    <t>1448-6083</t>
  </si>
  <si>
    <t>PUBL ASTRON SOC AUST</t>
  </si>
  <si>
    <t>Publ. Astron. Soc. Aust.</t>
  </si>
  <si>
    <t>10.1071/AS04036</t>
  </si>
  <si>
    <t>920VW</t>
  </si>
  <si>
    <t>WOS:000228720300002</t>
  </si>
  <si>
    <t>Burton, MG; Lawrence, JS; Ashley, MCB; Bailey, JA; Blake, C; Bedding, TR; Bland-Hawthorn, J; Bond, IA; Glazebrook, K; Hidas, MG; Lewis, G; Longmore, SN; Maddison, ST; Mattila, S; Minier, V; Ryder, SD; Sharp, R; Smith, CH; Storey, JWV; Tinney, CG; Tuthill, P; Walsh, AJ; Walsh, W; Whiting, M; Wong, T; Woods, D; Yock, PCM</t>
  </si>
  <si>
    <t>Science programs for a 2-m class telescope at Dome C, Antarctica: PILOT, the Pathfinder for an International Large Optical Telescope</t>
  </si>
  <si>
    <t>Gravity Workshop 2004</t>
  </si>
  <si>
    <t>APR 15-16, 2004</t>
  </si>
  <si>
    <t>Univ Sydney, Sydney, AUSTRALIA</t>
  </si>
  <si>
    <t>Univ Sydney</t>
  </si>
  <si>
    <t>telescopes; site testing; atmospheric effects; techniques : high angular resolution; stars : formation; cosmology : observations</t>
  </si>
  <si>
    <t>HUBBLE-SPACE-TELESCOPE; STAR-FORMATION HISTORY; SOUTH-POLE; DARK-MATTER; OBSERVING CONDITIONS; MICROLENSING EVENTS; ARC STATISTICS; SKY BRIGHTNESS; PLANET SEARCH; GIANT STREAM</t>
  </si>
  <si>
    <t>The cold, dry, and stable air above the summits of the Antarctic plateau provides the best ground-based observing conditions from optical to sub-millimetre wavelengths to be found on the Earth. Pathfinder for an International Large Optical Telescope (PILOT) is a proposed 2m telescope, to be built at Dome C in Antarctica, able to exploit these conditions for conducting astronomy at optical and infrared wavelengths. While PILOT is intended as a pathfinder towards the construction of future grand-design facilities, it will also be able to undertake a range of fundamental science investigations in its own right. This paper provides the performance specifications for PILOT, including its instrumentation. It then describes the kinds of projects that it could best conduct. These range from planetary science to the search for other solar systems, from star formation within the Galaxy to the star formation history of the Universe, and from gravitational lensing caused by exo-planets to that produced by the cosmic web of dark matter. PILOT would be particularly powerful for wide-field imaging at infrared wavelengths, achieving near diffraction-limited performance with simple tip-tilt wavefront correction. PILOT would also be capable of near diffraction-limited performance in the optical wavebands, as well be able to open new wavebands for regular ground-based observation, in the mid-IR from 17 to 40 mu m and in the sub-millimetre at 200 mu m.</t>
  </si>
  <si>
    <t>Univ New S Wales, Sch Phys, Sydney, NSW 2052, Australia; Anglo Australian Observ, Epping, NSW 1710, Australia; Macquarie Univ, Ctr Astrobiol, N Ryde, NSW 2109, Australia; Univ Sydney, Sydney, NSW 2006, Australia; Massey Univ, Auckland, New Zealand; Johns Hopkins Univ, Baltimore, MD 21218 USA; Swinburne Univ Technol, Hawthorn, Vic 3122, Australia; Stockholm Observ, Stockholm, Sweden; CEA Saclay, Paris, France; Electro Opt Syst, Queanbeyan, NSW 2620, Australia; CSIRO, Australia Telescope Natl Facil, Shimla 171001, Himachal Prades, India; Univ Auckland, Auckland 1, New Zealand</t>
  </si>
  <si>
    <t>University of New South Wales Sydney; Macquarie University; University of Sydney; Massey University; Johns Hopkins University; Swinburne University of Technology; Stockholm University; CEA; Commonwealth Scientific &amp; Industrial Research Organisation (CSIRO); University of Auckland</t>
  </si>
  <si>
    <t>M.Burton@unsw.edu.au</t>
  </si>
  <si>
    <t>Smith, Craig Hamilton/JVZ-8521-2024; Walsh, Andrew J/B-5627-2013; Blake, Chris/AAC-4603-2019; Whiting, Matthew T/C-1017-2008; Bedding, Timothy/AAU-9400-2021; Bland-Hawthorn, Joss/ABE-7646-2020; Lewis, Geraint/F-9069-2015; Maddison, Sarah/L-8613-2018; Glazebrook, Karl/N-3488-2015</t>
  </si>
  <si>
    <t>Smith, Craig Hamilton/0009-0002-6723-1041; Whiting, Matthew T/0000-0003-1160-2077; Bedding, Timothy/0000-0001-5222-4661; Bland-Hawthorn, Joss/0000-0001-7516-4016; Tuthill, Peter/0000-0001-7026-6291; Walsh, Andrew/0000-0001-9506-0855; Yock, Philip/0000-0001-9716-7752; Sharp, Rob/0000-0003-4877-7866; Lewis, Geraint/0000-0003-3081-9319; Wong, Tony/0000-0002-7759-0585; Burton, Michael/0000-0001-7289-1998; Blake, Chris/0000-0002-5423-5919; Mattila, Seppo/0000-0001-7497-2994; Ashley, Michael/0000-0003-1412-2028; Ryder, Stuart/0000-0003-4501-8100; Walsh, Wilfred/0000-0002-6054-6414; Tinney, C.G./0000-0002-7595-0970; Maddison, Sarah/0000-0001-5827-4088; Bedding, Timothy/0000-0001-5943-1460; Lawrence, Jon/0000-0002-6998-6993; Glazebrook, Karl/0000-0002-3254-9044</t>
  </si>
  <si>
    <t>10.1071/AS04077</t>
  </si>
  <si>
    <t>959NJ</t>
  </si>
  <si>
    <t>WOS:000231524400007</t>
  </si>
  <si>
    <t>Tian, WS; Chipperfield, MP</t>
  </si>
  <si>
    <t>A new coupled chemistry-climate model for the stratosphere:: The importance of coupling for future O3-climate predictions</t>
  </si>
  <si>
    <t>ozone recovery; Unified Model</t>
  </si>
  <si>
    <t>NORTHERN MIDLATITUDES; RADIATION-FIELD; TROPOSPHERE; OZONE; SIMULATIONS; CIRCULATION; CONFIGURATION; TRANSPORT; WINTER</t>
  </si>
  <si>
    <t>We have created a new interactive model for coupled chemistry-climate studies of the stratosphere. The model combines the detailed stratospheric chemistry modules developed and tested in the SLIMCAT/ TOMCAT off-line chemical transport models (CTM) with a version of the Met Office Unified Model (UM). The resulting chemistry-climate model (CCM), called UMCHEM, has a detailed description of stratospheric gas-phase and heterogeneous chemistry. The chemical fields Of O-3, N2O, CH4 and H2O are used interactively in the radiative heating calculation. We present results from a series of 10-year 'time-slice' experiments for 2000 and 2050 conditions. The UMCHEM model performs well in reproducing basic features of the stratosphere. The distribution of long-lived tracers and 'age of air' compare well with observations. For O-3, the model tends to underestimate the stratospheric column at high latitudes by similar to20 DU. This is due to an underestimate of poleward transport in the mid-low stratosphere. The UMCHEM reproduces well the seasonal cycle in monthly mean column O-3 at mid-high latitudes, though the variability is slightly smaller than observations and smaller than in the SLIMCAT CTM. Other comparisons with the CTM, which has an identical chemistry scheme, show differences resulting from the models' meteorologies. For example, while the CTM reproduces the observed NOy versus N2O correlation, the UMCHEM overestimates the slope by about a factor of 2. Including full chemistry in the UM causes important differences in the model's meteorology. As the zonal mean ozone climatology used in the UM is larger than that calculated in UMCHEM, with a maximum difference of 4 ppmv in the upper stratosphere, the UMCHEM temperature is about 4 K lower in the Antarctic lower stratosphere and 1-6 K higher in the upper stratosphere. The age of air is less in the basic UM by about 1-3 months in the lower stratosphere but slightly greater in the upper stratosphere. Coupling of the more realistic stratospheric chemistry water vapour warms the model stratosphere by similar to 1-2 K. This water vapour coupling also results in a decrease in ozone with a maximum difference of about 250 ppbv in the tropical and southern high-latitude upper stratosphere, while in the tropical lower stratosphere ozone concentrations are increased by up to 30 ppbv. For 2050 conditions, the model produces a column 03 5% higher than present-day values in the tropics, about 15% higher in the Arctic winter/spring and up to 90% higher in the much smaller Antarctic O-3 hole. This large O-3 increase more than offsets the effect of cooling in the Antarctic late spring induced by greenhouse gases.</t>
  </si>
  <si>
    <t>Univ Leeds, Sch Environm, Inst Atmospher Sci, Leeds LS2 9JT, W Yorkshire, England</t>
  </si>
  <si>
    <t>University of Leeds</t>
  </si>
  <si>
    <t>martyn@env.leeds.ac.uk</t>
  </si>
  <si>
    <t>Natural Environment Research Council [NE/C003969/1] Funding Source: researchfish</t>
  </si>
  <si>
    <t>1477-870X</t>
  </si>
  <si>
    <t>10.1256/qj.04.05</t>
  </si>
  <si>
    <t>898LD</t>
  </si>
  <si>
    <t>WOS:000227077400014</t>
  </si>
  <si>
    <t>Verleyen, E; Hodgson, DA; Milne, GA; Sabbe, K; Vyverman, W</t>
  </si>
  <si>
    <t>Relative sea-level history from the Lambert Glacier region, East Antarctica, and its relation to deglaciation and Holocene glacier readvance</t>
  </si>
  <si>
    <t>relative sea level; East Antarctic ice sheet; Mwp-la; glacier readvance; Holocene; Lambert Glacier; Amery Ice Shelf; Larsemann Hills; Vestfold Hills</t>
  </si>
  <si>
    <t>AMERY ICE SHELF; AGE CALIBRATION; VESTFOLD HILLS; VICTORIA LAND; VOLUME; RECORD; SHEET; COAST; GREENLAND; MAXIMUM</t>
  </si>
  <si>
    <t>We present a relative sea-level (RSL) history, constrained by AMS radiocarbon-dated marine-freshwater transitions in isolation basins from a site adjacent to the Lambert Glacier, East Antarctica. The RSL data suggest an initial ice retreat between c. 15,370 and 12,660 cal yr B.P. Within this period, meltwater pulse IA (mwp IA, between c. 14,600-14,200 and 14,100-13,700 cal yr B.P.) occurred; an exceptionally large ice melting event, inferred from far-field sea-level records. The RSL curve shows a pronounced highstand of approximately 8 m between c. 7570-7270 and 7250-6950 cal yr B.P. that is consistent with the timing of the RSL highstand in the nearby Vestfold Hills. This is followed by a fall in RSL to the present. In contrast to previous findings, the isolation of the lakes in the Larsemann Hills postdates the isolation of lakes with similar sill heights in the Vestfold Hills. An increase in RSL fall during the late Holocene may record a decline in the rate of isostatic uplift in the Larsemann Hills between c. 7250-6950 and 2847-2509 cal yr B.P., that occurred in response to a documented mid-Holocene glacier readvance followed by a late-Holocene retreat. (C) 2004 University of Washington. All rights reserved.</t>
  </si>
  <si>
    <t>Univ Ghent, Dept Biol, Sect Protistol &amp; Aquat Ecol, B-9000 Ghent, Belgium; British Antarctic Survey, NERC, Cambridge CB3 0ET, England; Univ Durham, Dept Earth Sci, Durham DH1 3LE, England</t>
  </si>
  <si>
    <t>Ghent University; UK Research &amp; Innovation (UKRI); Natural Environment Research Council (NERC); NERC British Antarctic Survey; Durham University</t>
  </si>
  <si>
    <t>Univ Ghent, Dept Biol, Sect Protistol &amp; Aquat Ecol, Krijgslaan 281-S8, B-9000 Ghent, Belgium.</t>
  </si>
  <si>
    <t>elie.verleyen@UGent.be</t>
  </si>
  <si>
    <t>Dasseville, Renaat/B-3561-2010</t>
  </si>
  <si>
    <t>10.1016/j.yqres.2004.09.005</t>
  </si>
  <si>
    <t>885YB</t>
  </si>
  <si>
    <t>WOS:000226192200004</t>
  </si>
  <si>
    <t>Wilson, MA; Hodgson, DA; Keely, BJ</t>
  </si>
  <si>
    <t>Atmospheric pressure chemical ionisation liquid chromatography/multistage mass spectrometry for assignment of sedimentary bacteriochlorophyll derivatives</t>
  </si>
  <si>
    <t>RAPID COMMUNICATIONS IN MASS SPECTROMETRY</t>
  </si>
  <si>
    <t>GREEN SULFUR BACTERIA; HOMOLOGS; PORPHYRINS</t>
  </si>
  <si>
    <t>Atmospheric pressure chemical ionisation liquid chromatography/multistage mass spectrometry (APCI-LC/MSn) provides a rapid, on-line method for the assignment of individual bacteriophaeophorbide c and d methyl esters (BPMEs) in complex mixtures. The MS2 spectrum for each component is diagnostic of the type of BPME (c or d), and characteristic losses in MS5 and MS6 permit assignment of the alkyl substituents at positions C-8 and C-12 of the macrocycle. MS5 mass chromatograms permit the deconvolution of coeluting isobaric BPMEs, revealing the true profiles of the individual components. The distributions are different in lake sediments from la Salada de Chiprana (Spain) and Kirisjes Pond (Antarctica), and a novel BPME c with a neo-pentyl substituent has been observed in the Kirisjes Pond sediment. Copyright (C) 2004 John Wiley Sons, Ltd.</t>
  </si>
  <si>
    <t>Univ York, Dept Chem, York YO10 5DD, N Yorkshire, England; British Antarctic Survey, NERC, Cambridge CB3 0ET, England</t>
  </si>
  <si>
    <t>University of York - UK; UK Research &amp; Innovation (UKRI); Natural Environment Research Council (NERC); NERC British Antarctic Survey</t>
  </si>
  <si>
    <t>Univ York, Dept Chem, York YO10 5DD, N Yorkshire, England.</t>
  </si>
  <si>
    <t>bjk1@york.ac.uk</t>
  </si>
  <si>
    <t>Keely, Brendan John/0000-0002-8560-1862</t>
  </si>
  <si>
    <t>0951-4198</t>
  </si>
  <si>
    <t>1097-0231</t>
  </si>
  <si>
    <t>RAPID COMMUN MASS SP</t>
  </si>
  <si>
    <t>Rapid Commun. Mass Spectrom.</t>
  </si>
  <si>
    <t>10.1002/rcm.1749</t>
  </si>
  <si>
    <t>Biochemical Research Methods; Chemistry, Analytical; Spectroscopy</t>
  </si>
  <si>
    <t>Biochemistry &amp; Molecular Biology; Chemistry; Spectroscopy</t>
  </si>
  <si>
    <t>886OR</t>
  </si>
  <si>
    <t>WOS:000226238700006</t>
  </si>
  <si>
    <t>Kock, KH; Jones, CD</t>
  </si>
  <si>
    <t>Fish stocks in the southern Scotia Arc region - A review and prospects for future research</t>
  </si>
  <si>
    <t>REVIEWS IN FISHERIES SCIENCE</t>
  </si>
  <si>
    <t>Antarctic fish stocks; Scotia Arc</t>
  </si>
  <si>
    <t>NOTOTHENIA-ROSSII-MARMORATA; ISLANDS SUBAREA 48.2; ANTARCTIC FISH; CHAMPSOCEPHALUS-GUNNARI; HARPAGIFER-BISPINIS; SHETLAND ISLANDS; ELEPHANT ISLAND; AGE; PISCES; GROWTH</t>
  </si>
  <si>
    <t>We provide a summary of biological aspects and population trends of demersal finfish stocks in the southern Scotia Arc region of Antarctica. Information presented here, drawn largely from recent scientific research surveys, includes aspects of species composition, biomass and stock structure, reproduction and early life history, age, growth, and natural mortality, and diet. Although Antarctic fish faunal groups overlap in the southern Scotia Arc, the region is dominated by species of low-Antarctic origin both in terms of biomass and number of species. Several basic biological parameters of the abundant fish species in the southern Scotia Arc are comparatively well known, though less so in the South Orkney Islands than the South Shetland Islands. These stocks suffered substantial declines as a result of commercial exploitation of mackerel ice fish, Champsocephalus gunnari, and marbled notothenia, Notothenia rossii, in the late 1970s and mid 1980s. This led to a moratorium on directed fishing in 1989-90 which remains in effect. At present, several stocks, with the exception of these two species, appear to have recovered. A number of important biological features, such as age, growth, mortality and the early life history of most species are still poorly understood. Key biological research needs are identified.</t>
  </si>
  <si>
    <t>Inst Seefischerei, Bundesforschungsanstalt Fisherei, D-22767 Hamburg, Germany; SW Fisheries Sci Ctr, Natl Ocean &amp; Atmospher Adm, Natl Marine Fisheries Serv, La Jolla, CA USA</t>
  </si>
  <si>
    <t>Inst Seefischerei, Bundesforschungsanstalt Fisherei, Palmaille 9, D-22767 Hamburg, Germany.</t>
  </si>
  <si>
    <t>kock.ish@bfa-fisch.de</t>
  </si>
  <si>
    <t>1064-1262</t>
  </si>
  <si>
    <t>1547-6553</t>
  </si>
  <si>
    <t>REV FISH SCI</t>
  </si>
  <si>
    <t>Rev. Fish. Sci.</t>
  </si>
  <si>
    <t>10.1080/10641260590953900</t>
  </si>
  <si>
    <t>936YZ</t>
  </si>
  <si>
    <t>WOS:000229892900001</t>
  </si>
  <si>
    <t>Antipin, VS; Yazev, SA; Perepelov, AB; Efremov, SV; Mitichkin, MA; Ivanov, AV; Pavlova, LA; Karmanov, NS; Ushchapovskaya, ZF</t>
  </si>
  <si>
    <t>The 25 September 2002 vitim meteorite: Results of complex research</t>
  </si>
  <si>
    <t>RUSSIAN GEOLOGY AND GEOPHYSICS</t>
  </si>
  <si>
    <t>bolide; meteorite; ablation track; electrophone phenomena; nickel-iron; spherules</t>
  </si>
  <si>
    <t>On September 25, 2002, a brilliant meteor was observed over the Mama-Chuya and Bodaibo Districts of the Irkutsk Region. Its flight was accompanied by significant light, sound, and electrophone phenomena as well as by an air shock wave. A U. S. satellite has recorded the coordinates of two observation points, and many eye-witnesses have testified to this natural phenomenon. On the basis of this information, the path of the meteorite fall has been reconstructed. In 2002-03, three expeditions explored the area where the meteorite had supposedly fallen. The main results of their complex research are reported in this paper. In addition to the expeditions of the Irkutsk Scientific Center, experts from the Meteorite Agency of the RAS as well as teams of research workers and students from Ekaterinburg and Krasnoyarsk were engaged in the search for the meteorite matter. Neither of these groups succeeded in finding craters, or traces of fall, or fragments of this meteorite. Examining the snow samples taken along the path of the meteorite flight, we have found mineral particles and spherules, whose origin might be linked to the cosmogenic matter precipitated from the smoke-dust ablation track of the meteorite, and analyzed them using an electron microprobe. Of the greatest interest for study are polymineral spherules and a particle of Ni-bearing pyrites and nickel-iron, whose Fe and Ni proportions correspond to those of kamacite and taenite, typical minerals of meteorites. Analysis of these mineral formations shows that they are not typical of the bedrock and weathering crust of the study area but are, in particular, similar to the spherules (micrometeorites) from the Antarctic ice discovered in the purposeful search for meteorite matter. An important argument for the meteorite origin of the found particles is the fact that the localities where they were found during the expeditions coincide with the areas of damaged and fallen forest along the projected path of the meteor.</t>
  </si>
  <si>
    <t>Russian Acad Sci, Siberian Branch, Inst Geochem, Irkutsk 664033, Russia; Irkutsk State Univ, Irkutsk 664033, Russia; Russian Acad Sci, Siberian Branch, Inst Earth Crust, Irkutsk 664033, Russia; Russian Acad Sci, Siberian Branch, Inst Geol, Ulan Ude 670047, Russia</t>
  </si>
  <si>
    <t>Russian Academy of Sciences; Irkutsk Science Centre of the Russian Academy of Sciences; A.P. Vinogradov Institute of Geochemistry of the Siberian Branch of the RAS; Irkutsk State University; Irkutsk Science Centre of the Russian Academy of Sciences; Institute of Earth's Crust of Siberian Branch of the Russian Academy of Sciences; Russian Academy of Sciences; Russian Academy of Sciences; Institute of Geology, Siberian Branch of the RAS</t>
  </si>
  <si>
    <t>Russian Acad Sci, Siberian Branch, Inst Geochem, 1A Ul Favorskogo, Irkutsk 664033, Russia.</t>
  </si>
  <si>
    <t>Karmanov, Nikolay/A-3917-2014; Efremov, Sergey Vasilevich/I-5041-2018; Ivanov, Alexei V./U-2454-2019; Perepelov, Alexandr B/O-5642-2015; Yazev, Sergey/AAH-6323-2019</t>
  </si>
  <si>
    <t>Karmanov, Nikolay/0000-0001-6515-5079; Ivanov, Alexei V./0000-0002-6410-5237;</t>
  </si>
  <si>
    <t>RUSSIAN ACAD SCIENCES, SIBERIAN BRANCH, VS SOBOLEV INST GEOL &amp; MINEROL</t>
  </si>
  <si>
    <t>NOVOSIBIRSK</t>
  </si>
  <si>
    <t>PR-KT AK. KOPTYUGA, 3, NOVOSIBIRSK, 630090, RUSSIA</t>
  </si>
  <si>
    <t>1068-7971</t>
  </si>
  <si>
    <t>1878-030X</t>
  </si>
  <si>
    <t>RUSS GEOL GEOPHYS+</t>
  </si>
  <si>
    <t>Russ. Geol. Geophys.</t>
  </si>
  <si>
    <t>981WM</t>
  </si>
  <si>
    <t>WOS:000233118700004</t>
  </si>
  <si>
    <t>Xiao, CD; Qin, DH; Bian, LG; Zhou, XJ; Allison, I; Yan, M</t>
  </si>
  <si>
    <t>A precise monitoring of snow surface height in the region of Lambert Glacier basin-Amery Ice Shelf, East Antarctica</t>
  </si>
  <si>
    <t>SCIENCE IN CHINA SERIES D-EARTH SCIENCES</t>
  </si>
  <si>
    <t>Antarctica; Lambert Glacier Basin; Amery Ice Shelf; accumulation; katabatic wind</t>
  </si>
  <si>
    <t>MASS-BALANCE; ACCUMULATION; SHEET; SUBLIMATION; STATION</t>
  </si>
  <si>
    <t>The net surface snow accumulation on the Antarctic ice sheet is determined by a combination of precipitation, sublimation and wind redistribution. We present a one-year record of hourly snow-height measurements at LGB69 (70 degrees 50'S, 77 degrees 04'E, 1850 m a.s.l.), east side of Lambert Glacier basin (LGB), and 4 year record at G3 (70 degrees 53'S, 69 degrees 52'E, 84 m a.s.l.), Amery Ice Shelf (AIS). The measurements were made with ultrasonic sensors mounted on automatic weather stations installed at two sites. The snow accumulation at LGB69 is approximately 70 cm. Throughout the winter, between April and September, there was little change in surface snow height (SSH) at the two sites. The negative SSH change is due to densification at LGB69, and is due to both ablation and densification at G3. The strongest accumulation at two sites occurred during the period between October and March (accounting for 101.6% at LG1369), with four episodic increasing events occurring during 2002 for LGB69, and eight events during 1999-2002 for G3 (2 to 3 events per year). At LG1369, these episodic events coincided with obvious humidity pulses and decreases of incoming solar radiation as recorded by the AWS. Observations of the total cloud amount at Davis station, 160 km NNE of LGB69, showed good correlation with major accumulation events recorded at LGB69. There was an obvious anti-correlation between the lowest cloud height at Davis and the daily accumulation rate at LG1369. Although there was no correlation over the total year between wind speed and accumulation at LG1369, large individual accumulation events are associated with episodes of strong wind (&gt; 7 m/s), we estimate drift snow may contribute to total SSH up to 35%. Strong accumulation events at LGB69 are associated with major storms in the region and inland transport of moist air masses from the coast.</t>
  </si>
  <si>
    <t>Peking Univ, Dept Atmospher Sci, Beijing 100871, Peoples R China; Chinese Acad Meteorol Sci, Beijing 100081, Peoples R China; Chinese Acad Sci, Lab Ice Core &amp; Cold Reg Environm, Cold &amp; Arid Reg Environm &amp; Engn Res Inst, Lanzhou 730000, Peoples R China; Australian Antarctic Div, Hobart, Tas 7001, Australia; Antarctic Climate &amp; Ecosyst CRC, Hobart, Tas 7001, Australia; Polar Res Ctr China, Shanghai 200129, Peoples R China</t>
  </si>
  <si>
    <t>Peking University; China Meteorological Administration; Chinese Academy of Meteorological Sciences (CAMS); Chinese Academy of Sciences; Cold &amp; Arid Regions Environmental &amp; Engineering Research Institute, CAS; Australian Antarctic Division; University of Tasmania</t>
  </si>
  <si>
    <t>Peking Univ, Dept Atmospher Sci, Beijing 100871, Peoples R China.</t>
  </si>
  <si>
    <t>Allison, Ian F/I-4477-2015</t>
  </si>
  <si>
    <t>Allison, Ian F/0000-0001-9599-0251</t>
  </si>
  <si>
    <t>1006-9313</t>
  </si>
  <si>
    <t>SCI CHINA SER D</t>
  </si>
  <si>
    <t>Sci. China Ser. D-Earth Sci.</t>
  </si>
  <si>
    <t>10.1360/03yd0127</t>
  </si>
  <si>
    <t>908KU</t>
  </si>
  <si>
    <t>WOS:000227786700012</t>
  </si>
  <si>
    <t>Keighren, IM</t>
  </si>
  <si>
    <t>Of poles, pressmen, and the newspaper public: Reporting the Scottish National Antarctic Expedition, 1902-1904</t>
  </si>
  <si>
    <t>SCOTTISH GEOGRAPHICAL JOURNAL</t>
  </si>
  <si>
    <t>William Speirs Bruce; polar exploration; newspapers; journalism; geography of reporting</t>
  </si>
  <si>
    <t>SCOTLAND</t>
  </si>
  <si>
    <t>Between 1902 and 1904, the Scots naturalist William Speirs Bruce (1867-1921) led the Scottish National Antarctic Expedition on a voyage of oceanographical discovery. Unlike other British expeditions undertaken during the 'Heroic Age' of polar exploration, Bruce's Expedition placed undivided attention upon scientific accumulation, and dismissed the value of territorial acquisition. As a consequence, Bruce and his Expedition were subject to a distinct interpretation by the press. With reference to contemporary newspaper reports, this paper traces the unique mediation of Bruce, and reveals how geographies of reporting served to communicate locally particular representations of him, and of the Scottish National Antarctic Expedition.</t>
  </si>
  <si>
    <t>Univ Edinburgh, Inst Geog, Edinburgh EH8 9XP, Midlothian, Scotland</t>
  </si>
  <si>
    <t>Keighren, IM (corresponding author), Univ Edinburgh, Inst Geog, Drummond St, Edinburgh EH8 9XP, Midlothian, Scotland.</t>
  </si>
  <si>
    <t>Keighren, Innes/B-5971-2008</t>
  </si>
  <si>
    <t>Keighren, Innes/0000-0002-4791-6820</t>
  </si>
  <si>
    <t>ROYAL SCOTTISH GEOGRAPH SOC</t>
  </si>
  <si>
    <t>GLASGOW</t>
  </si>
  <si>
    <t>GRAHAM HILLS BUILDING, 40 GEORGE ST, GLASGOW G1 1QE, SCOTLAND</t>
  </si>
  <si>
    <t>0036-9225</t>
  </si>
  <si>
    <t>SCOT GEOGR J</t>
  </si>
  <si>
    <t>Scott. Geogr. J.</t>
  </si>
  <si>
    <t>10.1080/00369220518737231</t>
  </si>
  <si>
    <t>037NR</t>
  </si>
  <si>
    <t>WOS:000237154200005</t>
  </si>
  <si>
    <t>Rao, J; Biswas, S</t>
  </si>
  <si>
    <t>Biologically inspired mobility models for energy conservation in sensor networks</t>
  </si>
  <si>
    <t>SECOND IEEE WORKSHOP ON EMBEDDED NETWORKED SENSORS</t>
  </si>
  <si>
    <t>2nd IEEE Workshop on Embedded Networked Sensors</t>
  </si>
  <si>
    <t>MAY 30-31, 2005</t>
  </si>
  <si>
    <t>This paper presents a mechanism for extending network life by introducing energy-aware mobility in wireless sensor networks. The concept of mobility for energy saving has been motivated by a natural grouping behavior that is observed in Emperor penguin communities in the Antarctic region. During the winters, a group of emperor penguins form a closely huddled group to improve their collective heat insulation. Individual penguins within a group exhibit a local mobility pattern that ensures that each individual spends equal amount of time at the periphery of the group, where the heat loss is the maximum. As a result, the total heat loss of the group is thought to be evenly distributed across all the individuals. In this paper, we first draw a parallel between the heat loss of a penguin at the group periphery, and the routing energy burden of a sensor node near base stations. Then we develop a distributed mobility algorithm that works based on local energy information and makes sure that the energy load across sensor nodes in a network are evenly distributed for collective extension of the network life. We evaluate the protocol, and compare it with the performance upper bound derived from a centralized version of the algorithm. The results demonstrate that using the distributed algorithm for controlled node mobility it is possible to significantly extend the network life. It is also shown that this holds in situations where the energy cost of physical node mobility is modeled up to four orders of magnitude larger than the energy cost for packet communication.</t>
  </si>
  <si>
    <t>Michigan State Univ, E Lansing, MI 48824 USA</t>
  </si>
  <si>
    <t>Michigan State University</t>
  </si>
  <si>
    <t>Rao, J (corresponding author), Michigan State Univ, E Lansing, MI 48824 USA.</t>
  </si>
  <si>
    <t>jayanthi@egr.msu.edu; sbiswas@egr.msu.edu</t>
  </si>
  <si>
    <t>0-7803-9246-9</t>
  </si>
  <si>
    <t>Telecommunications</t>
  </si>
  <si>
    <t>BDJ74</t>
  </si>
  <si>
    <t>WOS:000233860700016</t>
  </si>
  <si>
    <t>Middleton, B; Francis, G; Bishop, L; Luke, C; Williams, P; Arendt, J</t>
  </si>
  <si>
    <t>Sleep in different artificial light environments in winter at Halley Bay Antarctica (75°S)</t>
  </si>
  <si>
    <t>SLEEP</t>
  </si>
  <si>
    <t>19th Annual Meeting of the Associated-Professional-Sleep-Societies</t>
  </si>
  <si>
    <t>JUN 18-23, 2005</t>
  </si>
  <si>
    <t>Denver, CO</t>
  </si>
  <si>
    <t>Univ Surrey, SBMS, Dept Math &amp; Stat, Guildford GU2 5XH, Surrey, England; Derriford Hosp, British Antarctic Survey, Med Unit, Plymouth PL6 8DH, Devon, England</t>
  </si>
  <si>
    <t>University of Surrey; UK Research &amp; Innovation (UKRI); Natural Environment Research Council (NERC); NERC British Antarctic Survey; Derriford Hospital</t>
  </si>
  <si>
    <t>1550-9109</t>
  </si>
  <si>
    <t>Sleep</t>
  </si>
  <si>
    <t>A68</t>
  </si>
  <si>
    <t>Clinical Neurology; Neurosciences</t>
  </si>
  <si>
    <t>Neurosciences &amp; Neurology</t>
  </si>
  <si>
    <t>923JL</t>
  </si>
  <si>
    <t>WOS:000228906100202</t>
  </si>
  <si>
    <t>Smith, VR</t>
  </si>
  <si>
    <t>Moisture, carbon and inorganic nutrient controls of soil respiration at a sub-Antarctic island</t>
  </si>
  <si>
    <t>soil respiration; sub-Antarctic island; soil moisture content; glucose addition; soil nutrient status; nutrient limitation of respiration; seal and seabird manuring; climate change</t>
  </si>
  <si>
    <t>MARION-ISLAND; CLIMATE-CHANGE; TERRESTRIAL HABITATS; MICROBIAL BIOMASS; TEMPERATURE; VEGETATION; DIOXIDE</t>
  </si>
  <si>
    <t>Respiration rate of soils manured by seabirds and seals on sub-Antarctic Marion Island (47degreesS, 38degrees'E) is considerably higher than that of unmanured soils, and the main objective of this study was to determine whether this is caused by an enhanced supply of inorganic nutrients (N and P) or organic C substrates, or both. The effect of soil moisture content was also investigated. Soils from five habitats were studied: Mesic fellfield, Dry mire, Closed fernbrake, Coastal herbfield and Cotula herbfield. The latter two are strongly influenced by manuring. Respiration rate increased with soil moisture content up to full water holding capacity, and the response of respiration to moisture increased strongly with temperature (especially above 10degreesC). Respiration Q(10) increased with soil moisture content. Glucose addition markedly stimulated soil respiration rate in all the soils, despite the fact that they all possessed substantial concentrations of organic C, a wide range of N and P concentrations and a 2-fold variation in C:N ratio. This suggests that the primary factor limiting soil respiration on the island is the supply of labile carbon substrate. Soil N and P status is also important, since adding glucose with N and/or P to soils with low N and P concentrations resulted in a significantly greater stimulation of respiration rate than adding glucose alone. In fact, for the Mesic fellfield and Dry mire soils (especially poor in N and P) adding N and P stimulated respiration rate even without added glucose. For soils with adequate endogenous concentrations of N and P (the Coastal herbfield and Cotula herbfield soils), adding further N and P did not stimulate respiration, and adding N and P with glucose did not enhance respiration more than adding glucose alone. It is proposed that manuring results in a whole syndrome of consequences for soil respiration rate, including increased litter input and root exudation due to higher primary production, higher quality of litter and soil organic matter, larger, more active and more diverse soil microbial populations and larger numbers of microbivores that stimulate microbial activity and turnover. (C) 2004 Elsevier Ltd. All rights reserved.</t>
  </si>
  <si>
    <t>Univ Stellenbosch, Dept Bot, ZA-7602 Matieland, South Africa</t>
  </si>
  <si>
    <t>Univ Stellenbosch, Dept Bot, Private Bag 11, ZA-7602 Matieland, South Africa.</t>
  </si>
  <si>
    <t>vs2@sun.ac.za</t>
  </si>
  <si>
    <t>yang, lixia/D-7815-2011</t>
  </si>
  <si>
    <t>10.1016/j.soilbio.2004.07.026</t>
  </si>
  <si>
    <t>887XN</t>
  </si>
  <si>
    <t>WOS:000226338900008</t>
  </si>
  <si>
    <t>Welander, U</t>
  </si>
  <si>
    <t>Microbial degradation of organic pollutants in soil in a cold climate</t>
  </si>
  <si>
    <t>SOIL &amp; SEDIMENT CONTAMINATION</t>
  </si>
  <si>
    <t>cold-adapted microorganisms; herbicides; oil; phenols; polychlorinated biphenyls; soil bioremediation</t>
  </si>
  <si>
    <t>HYDROCARBON-DEGRADING BACTERIA; DIESEL-OIL; POLYCHLORINATED-BIPHENYLS; NATURAL ATTENUATION; CONTAMINATED SOIL; LOW-TEMPERATURE; ANTARCTIC SOIL; ARCTIC SOIL; CRUDE-OIL; ALPINE SOILS</t>
  </si>
  <si>
    <t>Cold-adapted microorganisms are potentially interesting for use in environmental biotechnology applications since a large part of the biosphere has low temperatures during at least parts of the year. Many studies have shown that both oil-contaminated and uncontaminated soils in the Arctic, the Antarctic and the Alps contain microbes that can degrade different hydrocarbons deriving from oils. A few studies have also been conducted on degradation of herbicides in soils at low temperatures. Furthermore, phenols and some polychlorinated biphenyl (PCB) congeners have proved to be degradable at low temperatures, using microorganisms isolated from sediments or soils. Additions of nitrogen and phosphorous to polluted soils have been shown to enhance the degradation of hydrocarbons in many cases. Bioaugmentation with hydrocarbon degrading cold-adapted microorganisms has given varying results. The inoculated microorganisms have probably been out-competed by the indigenous microorganisms in some cases. Different ways to increase the efficiency of microbial degradation of organic pollutants in soil in a cold climate is discussed.</t>
  </si>
  <si>
    <t>Vaxjo Univ, Sch Technol &amp; Design Chem, SE-35195 Vaxjo, Sweden</t>
  </si>
  <si>
    <t>Vaxjo University; Linnaeus University</t>
  </si>
  <si>
    <t>Vaxjo Univ, Sch Technol &amp; Design Chem, SE-35195 Vaxjo, Sweden.</t>
  </si>
  <si>
    <t>ulrika.welander@ips.vxu.se</t>
  </si>
  <si>
    <t>1532-0383</t>
  </si>
  <si>
    <t>1549-7887</t>
  </si>
  <si>
    <t>SOIL SEDIMENT CONTAM</t>
  </si>
  <si>
    <t>Soil. Sediment. Contam.</t>
  </si>
  <si>
    <t>10.1080/15320380590928339</t>
  </si>
  <si>
    <t>923JX</t>
  </si>
  <si>
    <t>WOS:000228907300006</t>
  </si>
  <si>
    <t>Parkinson, ML; Pinnock, M; Dyson, PL; Devlin, JC</t>
  </si>
  <si>
    <t>Mukai, T; Lopez, R; Maezawa, K; Grande, M; Fennell, JF; Heynderickx, D</t>
  </si>
  <si>
    <t>Signatures of the nightside open-closed magnetic field-line boundary during moderately disturbed conditions and ionospheric substorms</t>
  </si>
  <si>
    <t>SOLAR WIND-MAGNETOSPHERE-IONOSPHERE DYNAMICS AND RADIATION MODELS</t>
  </si>
  <si>
    <t>2nd World Space Congress/34th COSPAR Scientific Assembly</t>
  </si>
  <si>
    <t>OCT 10-19, 2002</t>
  </si>
  <si>
    <t>HOUSTON, TX</t>
  </si>
  <si>
    <t>ionospheric substorms; magnetic field lines; geomagnetic condition; open-closed magnetic field-line boundary</t>
  </si>
  <si>
    <t>SUPERDARN; PRECIPITATION; SECTOR; CUSP</t>
  </si>
  <si>
    <t>The comparatively low latitude of the Tasman International Geospace Environment Radar (TIGER) (147.2 degrees E, 43.4 degrees S, geographic; -54.6 degrees Lambda), a Southern Hemisphere HF SuperDARN radar, facilitates the observation of extensive backscatter from decametre-scale irregularities drifting in the auroral and polar cap ionosphere in the midnight sector. The radar often detects a persistent, sharp increase over similar to 90 km of range in line-of-sight Doppler velocity spread, or spectral width, from &lt; 50 m s(-1) at lower latitude to &gt; 200 m s(-1) at higher latitude. It was previously shown that for moderately disturbed conditions in the pre-midnight sector, the location of the spectral width boundary (SWB) corresponds to the poleward edge of the auroral oval, as determined from energy spectra of precipitating particles measured on board Defense Meteorology Satellite Program satellites. This implies the radar SWB is a proxy for the open-closed magnetic field-line boundary (OCB) under these particular conditions. Here we investigate whether the radar SWB is aligned with the satellite OCB under a broader range of geomagnetic conditions including small to moderate substorms Occurring in the pre- and post-magnetic midnight sectors. The behaviour of the SWB can be reconciled with the spatial and temporal variations of energetic particle precipitation throughout the substorm cycle. (c) 2005 COSPAR. Published by Elsevier Ltd. All rights reserved.</t>
  </si>
  <si>
    <t>La Trobe Univ, Dept Phys, Melbourne, Vic 3086, Australia; British Antarctic Survey, NERC, Cambridge CB3 0ET, England; La Trobe Univ, Dept Elect Engn, Melbourne, Vic 3086, Australia</t>
  </si>
  <si>
    <t>La Trobe University; UK Research &amp; Innovation (UKRI); Natural Environment Research Council (NERC); NERC British Antarctic Survey; La Trobe University</t>
  </si>
  <si>
    <t>Parkinson, ML (corresponding author), La Trobe Univ, Dept Phys, Bundoora Campus, Melbourne, Vic 3086, Australia.</t>
  </si>
  <si>
    <t>10.1016/j.asr.2005.06.082</t>
  </si>
  <si>
    <t>BDY96</t>
  </si>
  <si>
    <t>WOS:000236277300007</t>
  </si>
  <si>
    <t>Ansorge, IJ; Speich, S; Lutjeharms, JRE; Göni, GJ; Rautenbach, CJD; Froneman, PW; Rouault, M; Garzoli, S</t>
  </si>
  <si>
    <t>Monitoring the oceanic flow between Africa and Antarctica:: Report of the first GoodHope cruise</t>
  </si>
  <si>
    <t>SOUTHERN-OCEAN; CIRCUMPOLAR CURRENT; ATLANTIC SECTOR; AGULHAS CURRENT; GRAZING IMPACT; FRONTS SOUTH; INDIAN RIDGE; WATER; PHYTOPLANKTON; THERMOCLINE</t>
  </si>
  <si>
    <t>THE SOUTHERN OCEAN PLAYS A MAJOR role in the global oceanic circulation, as a component of the Meridional Overturning Circulation, and it is postulated that it has a great influence on present-day climate. However, our understanding of its complex three-dimensional dynamics and of the impact of its variability on the climate system is rudimentary. The newly constituted, international GoodHope research venture aims to address this knowledge gap by establishing a programme of regular observations across the Southern Ocean between the African and Antarctic continents. The objectives of this programme are fivefold: (1) to improve understanding of Indo-Atlantic inter-ocean exchanges and their impact on the global thermohaline circulation and thus on global climate change; (2) to understand in more detail the influence these exchanges have on the climate variability of the southern African subcontinent; (3) to monitor the variability of the main Southern Ocean frontal systems associated with the Antarctic Circumpolar Current; (4) to study air-sea exchanges and their role on the global heat budget, with particular emphasis on the intense exchanges occurring within the Agulhas Retroflection region south of South Africa, and (5) to examine the role of major frontal systems as areas of elevated biological activity and as biogeographical barriers to the distribution of plankton. We present here preliminary results on the physical and biological structure of the frontal systems using the first GoodHope transect that was completed during February-March 2004.</t>
  </si>
  <si>
    <t>Univ Cape Town, Dept Oceanog, ZA-7700 Rondebosch, South Africa; LPO, UBO, UFR Sci, F-29285 Brest, France; US Dept Commerce, NOAA, AOML, Miami, FL 33149 USA; Univ Pretoria, Geog Geoinformat &amp; Meteorol Dept, ZA-0002 Pretoria, South Africa; Rhodes Univ, Dept Zool &amp; Entomol, So Ocean Grp, ZA-6140 Grahamstown, South Africa; NOAA, Atlantic Oceanog &amp; Meteorol Lab, Phys Geog Div, Miami, FL 33149 USA</t>
  </si>
  <si>
    <t>University of Cape Town; Centre National de la Recherche Scientifique (CNRS); Ifremer; Institut de Recherche pour le Developpement (IRD); Universite de Bretagne Occidentale; National Oceanic Atmospheric Admin (NOAA) - USA; Atlantic Oceanographic &amp; Meteorological Laboratory (AOML); University of Pretoria; Rhodes University; National Oceanic Atmospheric Admin (NOAA) - USA; Atlantic Oceanographic &amp; Meteorological Laboratory (AOML)</t>
  </si>
  <si>
    <t>Ansorge, IJ (corresponding author), Univ Cape Town, Dept Oceanog, ZA-7700 Rondebosch, South Africa.</t>
  </si>
  <si>
    <t>ansorge@ocena.uct.ac.za</t>
  </si>
  <si>
    <t>Froneman, William/GLS-0460-2022; Speich, Sabrina/L-3780-2014; Garzoli, Silvia/JCP-1471-2023; Rouault, Mathieu/A-5022-2008; Froneman, William/C-9085-2012; ANSORGE, ISABELLE/AAY-7396-2020; Garzoli, Silvia/A-3556-2010; Goni, Gustavo/D-2017-2012</t>
  </si>
  <si>
    <t>Froneman, William/0000-0003-0615-1355; Speich, Sabrina/0000-0002-5452-8287; Rouault, Mathieu/0000-0002-3207-6777; Garzoli, Silvia/0000-0003-3553-2253; Ansorge, Isabelle/0000-0001-7071-8147; Goni, Gustavo/0000-0001-7093-3170</t>
  </si>
  <si>
    <t>930NN</t>
  </si>
  <si>
    <t>WOS:000229423000012</t>
  </si>
  <si>
    <t>Smart, DF; Worgul, BV</t>
  </si>
  <si>
    <t>The applicability of model based aircraft radiation dose estimates</t>
  </si>
  <si>
    <t>SPACE LIFE SCIENCES: AIRCRAFT AND SPACE RADIATION ENVIRONMENT</t>
  </si>
  <si>
    <t>aircraft radiation; dose estimates; aircraft radiation models; cosmic rays; Forbush decrease</t>
  </si>
  <si>
    <t>GALACTIC COSMIC-RAYS; SOLAR MODULATION; HELIOSPHERE; DEPENDENCE; SPECTRA; SPACE; EARTH</t>
  </si>
  <si>
    <t>The monthly cosmic radiation modulation parameters provided to compute radiation dose on aircraft flights do not account for short-term temporal variations such as Forbush decreases or high-speed solar wind flows. The currently available radiation dose models also do not account for changes in geomagnetic conditions when the geomagnetic cutoff may be significantly lower than the average predicted by use of the international geomagnetic reference field models. We utilize on-board aircraft radiation dosimeter data acquired during the major solar-terrestrial disturbances of October/November 2003 to demonstrate these effects along with the increased dose due to the ground-level event of 29 October 2003 on a mid-latitude flight path. (c) 2005 COSPAR. Published by Elsevier Ltd. All rights reserved.</t>
  </si>
  <si>
    <t>USAF, Res Lab, VSBX, Bedford, MA 01730 USA; Univ New S Wales, Dept Aviat, Sydney, NSW 2052, Australia; Australian Antarctic Div, Kingston, Tas 7050, Australia</t>
  </si>
  <si>
    <t>United States Department of Defense; United States Air Force; University of New South Wales Sydney; Australian Antarctic Division</t>
  </si>
  <si>
    <t>USAF, Res Lab, VSBX, 29 Randolph Rd, Bedford, MA 01730 USA.</t>
  </si>
  <si>
    <t>sssrc@msn.com</t>
  </si>
  <si>
    <t>10.1016/j.asr.2005.09.011</t>
  </si>
  <si>
    <t>Engineering, Aerospace; Astronomy &amp; Astrophysics; Biophysics; Geosciences, Multidisciplinary; Meteorology &amp; Atmospheric Sciences</t>
  </si>
  <si>
    <t>Engineering; Astronomy &amp; Astrophysics; Biophysics; Geology; Meteorology &amp; Atmospheric Sciences</t>
  </si>
  <si>
    <t>BDT67</t>
  </si>
  <si>
    <t>WOS:000235249300004</t>
  </si>
  <si>
    <t>Grytsai, AV; Evtushevskiy, AM; Milinevsky, GP; Grytsai, ZI; Agapitov, AV</t>
  </si>
  <si>
    <t>Grytsai, A. V.; Evtushevskiy, A. M.; Milinevsky, G. P.; Grytsai, Z. I.; Agapitov, A. V.</t>
  </si>
  <si>
    <t>LONGITUDINAL DISTRIBUTION OF TOTAL OZONE CONTENT IN EDGE REGION OF ANTARCTIC STRATOSPHERIC VORTEX</t>
  </si>
  <si>
    <t>SPACE SCIENCE AND TECHNOLOGY-KOSMICNA NAUKA I TEHNOLOGIA</t>
  </si>
  <si>
    <t>Ukrainian</t>
  </si>
  <si>
    <t>Longitudinal distribution of total ozone content (TOC) in the edge region of the Antarctic stratospheric vortex is analyzed using the TOMS satellite data (version 8) of 1979 to 2004. The five-month time interval of August-December covering the late Antarctic winter, spring, and early summer is considered. The five-month mean TOC zonal distributions at latitudes of 65 degrees S and 70 degrees S are obtained from the daily TOMS data. Zonal wave number 1 is dominated. It forms a zonal asymmetry with the quasi-stationary wave minimum and maximum placed in the opposite longitudinal sectors. Our results show that during the last 26 years the TOC asymmetry increased and in the last years it reaches 70-90 Dobson Units, or about 30 % relative to the zonal mean. Interannual variations of the longitude of the TOC maximum are observed near the stable position of 162 degrees E and 172 degrees E at latitudes of 65 degrees S and 70 degrees S, respectively. Besides the interannual variations, the longitude of the TOC minimum during 1979-2004 shows a systematic displacement to the east in the longitudinal sector of 45 degrees W to 10 degrees E. A spectral analysis shows that this tendency is caused by an interaction between the quasi-stationary components of the zonal wave number 1 and 2. In the last decades they have the opposite longitudinal drift of the phase of the maximum amplitude.</t>
  </si>
  <si>
    <t>[Grytsai, A. V.; Evtushevskiy, A. M.; Milinevsky, G. P.; Grytsai, Z. I.; Agapitov, A. V.] Kiev Natl Univ, Kiev, Ukraine; [Milinevsky, G. P.] Natl Acad Sci Ukraine, Main Astron Observ, Kiev, Ukraine</t>
  </si>
  <si>
    <t>Ministry of Education &amp; Science of Ukraine; Taras Shevchenko National University of Kyiv; National Academy of Sciences Ukraine; Main Astronomical Observatory of NASU</t>
  </si>
  <si>
    <t>Grytsai, AV (corresponding author), Kiev Natl Univ, Kiev, Ukraine.</t>
  </si>
  <si>
    <t>Milinevsky, Gennadi/AAD-8801-2019; Grytsai, Asen/AAS-7114-2020</t>
  </si>
  <si>
    <t>Milinevsky, Gennadi/0000-0002-2342-2615;</t>
  </si>
  <si>
    <t>PUBLISHING HOUSE AKADEMPERIODYKA</t>
  </si>
  <si>
    <t>KYIV</t>
  </si>
  <si>
    <t>PUBLISHING HOUSE AKADEMPERIODYKA, KYIV, 00000, UKRAINE</t>
  </si>
  <si>
    <t>1561-8889</t>
  </si>
  <si>
    <t>2518-1459</t>
  </si>
  <si>
    <t>SPACE SCI TECHNOL</t>
  </si>
  <si>
    <t>Space Sci. Technol.</t>
  </si>
  <si>
    <t>VG1HE</t>
  </si>
  <si>
    <t>WOS:000445350000002</t>
  </si>
  <si>
    <t>Munakata, K; Kuwabara, T; Bieber, JW; Evenson, P; Pyle, R; Yasue, S; Kato, C; Fujii, Z; Duldig, ML; Humble, JE; Silva, MR; Trivedi, NB; Gonzalez, WD; Schuch, NJ</t>
  </si>
  <si>
    <t>Daly, E; FullerRowell, TJ; Heynderickx, D; Onsager, T; Shea, MA</t>
  </si>
  <si>
    <t>CME-geometry and cosmic-ray anisotropy observed by a prototype muon detector network</t>
  </si>
  <si>
    <t>coronal mass ejection; Forbush decrease; cosmic ray anisotropy</t>
  </si>
  <si>
    <t>We analyze the cosmic-ray anisotropy observed by a prototype network of muon detectors during geomagnetic storms associated with coronal mass ejections (CMEs). The network currently consists of multidirectional surface muon detectors at Nagoya (Japan) and Hobart (Australia), together with a prototype detector at Sao Martinho (Brazil) which has been in operation since March, 2001. In this report, we analyze the anisotropy recorded in both the muon detector and neutron monitor (the Spaceship Earth) networks and find significant enhancements of cosmic-ray anisotropy during geomagnetic storms. Following the analysis by Bieber and Evenson [Bieber, JW., Evenson, P. CME geometry in relation to cosmic ray anisotropy. Geophys. Res. Lett. 25 (1998) 2955-2958] for the neutron monitor data at similar to 10 GeV, we also derive cosmic-ray density gradients from muon data at higher-energy (similar to 50 GeV), possibly reflecting the larger-scale geometry of CMEs causing geomagnetic storms. We particularly find in some events the anisotropy enhancement clearly starting prior to the storm onset in both the muon and neutron data. This is the first result of the CME-geometry derived from simultaneous observations of the anisotropy with networks of multidirectional muon detectors and neutron monitors. (c) 2003 COSPAR. Published by Elsevier Ltd. All rights reserved.</t>
  </si>
  <si>
    <t>Shinshu Univ, Fac Sci, Dept Phys, Matsumoto, Nagano 3908621, Japan; Univ Delaware, Bartol Res Inst, Newark, DE 19716 USA; Nagoya Univ, Solar Terr Environm Lab, Nagoya, Aichi 4648601, Japan; Australian Antarctic Div, Kingston, Tas 7050, Australia; Univ Tasmania, Sch Math &amp; Phys, Hobart, Tas 7001, Australia; OES, CRSPE, INPE, So Reg Space Res Ctr, Santa Maria, RS, Brazil</t>
  </si>
  <si>
    <t>Shinshu University; University of Delaware; Nagoya University; Australian Antarctic Division; University of Tasmania; Instituto Nacional de Pesquisas Espaciais (INPE)</t>
  </si>
  <si>
    <t>Shinshu Univ, Fac Sci, Dept Phys, 3-1-1 Asahi, Matsumoto, Nagano 3908621, Japan.</t>
  </si>
  <si>
    <t>kmuna00@gipac.shinshu-u.ac.jp; john@bartol.udel.edu</t>
  </si>
  <si>
    <t>Schuch, Nelson Jorge/K-9730-2015; Rockenbach, Marlos/C-1711-2012</t>
  </si>
  <si>
    <t>da Silva, Manoel Ribeiro/0000-0002-0559-9011; Rockenbach, Marlos/0000-0002-9737-9429; Duldig, Marcus/0000-0001-7463-8267; Humble, John/0000-0002-4698-1671</t>
  </si>
  <si>
    <t>10.1016/j.asr.2003.05.064</t>
  </si>
  <si>
    <t>BDS48</t>
  </si>
  <si>
    <t>WOS:000235183100020</t>
  </si>
  <si>
    <t>Stepanova, M; Antonova, E; Troshichev, O</t>
  </si>
  <si>
    <t>PC-index fluctuations and intermittency of the magnetospheric dynamics</t>
  </si>
  <si>
    <t>space weather; magnetospheric dynamics; PC-index; geomagnetic indices</t>
  </si>
  <si>
    <t>POLAR-CAP INDEX; GAUSSIAN DISTRIBUTION FUNCTION; SELF-ORGANIZED CRITICALITY; SOLAR-WIND; INTERPLANETARY QUANTITIES; MAGNETIC ACTIVITY; PLASMA SHEET; TURBULENCE; AE; VELOCITY</t>
  </si>
  <si>
    <t>One minute resolution Polar Cap (PC) index was used for the analysis of magnetospheric dynamics. The 1995-2000 time series analysis revealed that the power spectrum of the PC-index fluctuations is a power law in a wide range of frequencies. However, the obtained exponents differ for low and high frequency regions. The probability distribution functions of the PC-index fluctuations show a strong non-gaussian shape, depending on the time of increment. This indicates that the PC-index exhibits intermittency, previously detected in solar wind and auroral electrojet index fluctuations. The PC-index probability distribution functions were fitted by the functional form proposed by Castaing et al. [Velocity probability density functions of high Reynolds number turbulence. Physica D. 46, 177-200, 1990] to describe intermittency phenomena in ordinary turbulent fluid flows. The agreement between the fitting parameters obtained for the PC index and those reported before for solar wind magnetic field fluctuations is within 30%; which is noticeably less than the difference between the same parameters of solar wind and the AE-index fluctuations. This fact indicates that the PC index reflects the solar wind influence on the high-latitude magnetosphere, especially during the summer. (c) 2005 COSPAR. Published by Elsevier Ltd. All rights reserved.</t>
  </si>
  <si>
    <t>Univ Santiago Chile, Dept Fis, Santiago, Chile; Moscow MV Lomonosov State Univ, SINP, Moscow 119899, Russia; Artic &amp; Antarctic Res Inst, Dept Geophys, St Petersburg 199397, Russia</t>
  </si>
  <si>
    <t>Universidad de Santiago de Chile; Lomonosov Moscow State University</t>
  </si>
  <si>
    <t>Stepanova, M (corresponding author), Univ Santiago Chile, Dept Fis, Ecuador 3493,Casilla 307,Correo 2, Santiago, Chile.</t>
  </si>
  <si>
    <t>mstepano@lauca.usach.cl</t>
  </si>
  <si>
    <t>Antonova, Elizaveta E/A-2716-2012; Stepanova, Marina V/D-6329-2011</t>
  </si>
  <si>
    <t>Antonova, Elizaveta E/0000-0001-6980-3993; Stepanova, Marina V/0000-0002-1053-3375</t>
  </si>
  <si>
    <t>10.1016/j.asr.2003.10.056</t>
  </si>
  <si>
    <t>WOS:000235183100032</t>
  </si>
  <si>
    <t>Stepanova, MV; Antonova, EE; Troshichev, O</t>
  </si>
  <si>
    <t>Forecasting of DST variations from polar cap indices using neural networks</t>
  </si>
  <si>
    <t>space weather; neural networks; Dst variations; geomagnetic indices</t>
  </si>
  <si>
    <t>MAGNETIC ACTIVITY; PC INDEX; STORMS; PROXY; TIME</t>
  </si>
  <si>
    <t>The 15-min averaged polar cap (PC) index was used as an input parameter for the Dst variation forecasting. The PC index is known to describe well the principal features of the solar wind as well as the total energy input to the magnetosphere. This allowed us to design a neural network able to forecast the Dst variations from I to 4 h ahead. 1998 PC and Dst data sets were used for training and testing and 1997 data sets was used for validation proposes. From the 15 moderate and strong geomagnetic storms observed during 1997, nine were successfully forecasted. In three cases the observed minimum Dst value was less than the predicted one, and only in three cases the neural network was not able to reproduce the features of the geomagnetic storm. (c) 2005 COSPAR. Published by Elsevier Ltd. All rights reserved.</t>
  </si>
  <si>
    <t>Univ Santiago Chile, Dept Fis, Santiago, Chile; Moscow MV Lomonosov State Univ, Skobeltsyn Inst Nucl Phys, Moscow, Russia; Arctic &amp; Antarctic Res Inst, Dept Geophys, St Petersburg, Russia</t>
  </si>
  <si>
    <t>Universidad de Santiago de Chile; Lomonosov Moscow State University; Arctic &amp; Antarctic Research Institute</t>
  </si>
  <si>
    <t>Univ Santiago Chile, Dept Fis, Ecuador 3493,Casilla 347,Correo 2, Santiago, Chile.</t>
  </si>
  <si>
    <t>Stepanova, Marina V/D-6329-2011; Antonova, Elizaveta E/A-2716-2012</t>
  </si>
  <si>
    <t>Stepanova, Marina V/0000-0002-1053-3375; Antonova, Elizaveta E/0000-0001-6980-3993</t>
  </si>
  <si>
    <t>10.1016/j.asr.2003.09.073</t>
  </si>
  <si>
    <t>WOS:000235183100037</t>
  </si>
  <si>
    <t>Yoon, S; Bae, S; Schutz, BE</t>
  </si>
  <si>
    <t>Vallado, DA; Gabor, MJ; Desai, PN</t>
  </si>
  <si>
    <t>High frequency attitude motion of ICESat</t>
  </si>
  <si>
    <t>Spaceflight Mechanics 2005, Vol 120, Pts 1 and 2</t>
  </si>
  <si>
    <t>ADVANCES IN THE ASTRONAUTICAL SCIENCES</t>
  </si>
  <si>
    <t>AAS/AIAA 15th Space Flight Mechanics Meeting</t>
  </si>
  <si>
    <t>JAN 23-27, 2005</t>
  </si>
  <si>
    <t>Copper Mt, CO</t>
  </si>
  <si>
    <t>The Ice, Cloud and land Elevation Satellite (ICESat) was launched January 13, 2003 into a near circular orbit with 94 degrees inclination and 590 km altitude. The primary goal of ICESat is to measure long-term changes in the volumes of the Greenland and Antarctic ice sheets through the Geoscience Laser Altimeter System (GLAS), which is the instrument onboard ICESat. Solar arrays are continuously articulating to provide the power for the spacecraft bus and instrument electronics. It was observed that ICESat attitude motion contains high frequency components at several frequencies. These high frequency components are believed to be induced by solar array articulation. The characteristics of the high frequency attitude motion are found to be different in different attitude modes.</t>
  </si>
  <si>
    <t>Univ Texas, Ctr Space Res, Austin, TX 78712 USA</t>
  </si>
  <si>
    <t>Yoon, S (corresponding author), Univ Texas, Ctr Space Res, Austin, TX 78712 USA.</t>
  </si>
  <si>
    <t>UNIVELT INC</t>
  </si>
  <si>
    <t>PO BOX 28130, SAN DIEGO, CA 92128 USA</t>
  </si>
  <si>
    <t>1081-6003</t>
  </si>
  <si>
    <t>0-87703-520-2</t>
  </si>
  <si>
    <t>ADV ASTRONAUT SCI</t>
  </si>
  <si>
    <t>BCU60</t>
  </si>
  <si>
    <t>WOS:000231281700008</t>
  </si>
  <si>
    <t>Selbmann, L; de Hoog, GS; Mazzaglia, A; Friedmann, EI; Onofri, S</t>
  </si>
  <si>
    <t>Fungi at the edge of life: cryptoendolithic black fungi from Antarctic desert</t>
  </si>
  <si>
    <t>STUDIES IN MYCOLOGY</t>
  </si>
  <si>
    <t>Antarctica; black yeasts; cryptoendolithic community; Dothideales; extremophiles; Hysteriales; ITS; lichenicolous fungi; meristematic fungi; microcolonial fungi; phylogeny; SSU; taxonomy</t>
  </si>
  <si>
    <t>MARBLE; TEMPERATURE; ENVIRONMENT; SYSTEMATICS; ANAMORPHS; LINEAGES; GLYPHIUM; REVISION; ORIGINS; YEAST</t>
  </si>
  <si>
    <t>Twenty-six strains of black, mostly meristematic fungi isolated from cryptoendolithic lichen dominated communities in the Antarctic were described by light and Scanning Electron Microscopy and sequencing of the ITS rDNA region. In addition, cultural and temperature preferences were investigated. The phylogenetic positions of species recognised were determined by SSU rDNA sequencing. Most species showed affinity to the Dothideomycefidae and constitute two main groups referred to under the generic names Friedmanniomyces and Cryomyces (gen. nov.), each characterised by a clearly distinct morphology. Two species could be distinguished in each of these genera. Six strains could not be assigned to any taxonomic group; among them strain CCFEE 457 belongs to the Hysteriales, clustering together with Mediterranean marble-inhabiting Coniosporium species in an approximate group with low bootstrap support. All strains proved to be psychrophiles with the only exception for the strain CCFEE 507 that seems to be mesophilic-psychrotolerant. All had very thick melanised cell walls, the ability to produce exopolysaccharides and to grow meristematically. They are thought to be well adapted to the harsh environment of the Antarctic cold Desert. Hypotheses concerning their origin and evolution are put forward.</t>
  </si>
  <si>
    <t>Univ Tuscia, Dipartimento Sci Ambientali, Viterbo, Italy; Cent Bur Schimmelcultures, NL-3508 AD Utrecht, Netherlands; Univ Amsterdam, Inst Biodivers &amp; Ecosyst Dynam, NL-1098 SM Amsterdam, Netherlands; Univ Tuscia, Dipartimento Difesa Piante, Viterbo, Italy; NASA, Ames Res Ctr, Moffett Field, CA 94035 USA</t>
  </si>
  <si>
    <t>Tuscia University; University of Amsterdam; Tuscia University; National Aeronautics &amp; Space Administration (NASA); NASA Ames Research Center</t>
  </si>
  <si>
    <t>Univ Tuscia, Dipartimento Sci Ambientali, Largo Univ, Viterbo, Italy.</t>
  </si>
  <si>
    <t>onofri@unitus.it</t>
  </si>
  <si>
    <t>Selbmann, Laura/L-3056-2013; Mazzaglia, Angelo/I-4336-2012</t>
  </si>
  <si>
    <t>Selbmann, Laura/0000-0002-8967-3329; Mazzaglia, Angelo/0000-0002-1295-2565; ONOFRI, Silvano/0000-0001-8872-1440</t>
  </si>
  <si>
    <t>CENTRAALBUREAU SCHIMMELCULTURE</t>
  </si>
  <si>
    <t>UTRECHT</t>
  </si>
  <si>
    <t>PO BOX 85167, 3508 AD UTRECHT, NETHERLANDS</t>
  </si>
  <si>
    <t>0166-0616</t>
  </si>
  <si>
    <t>1872-9797</t>
  </si>
  <si>
    <t>STUD MYCOL</t>
  </si>
  <si>
    <t>Stud. Mycol.</t>
  </si>
  <si>
    <t>950PJ</t>
  </si>
  <si>
    <t>WOS:000230869100002</t>
  </si>
  <si>
    <t>de Hoog, S</t>
  </si>
  <si>
    <t>Fungi of the Antarctic: Evolution under extreme conditions - Preface</t>
  </si>
  <si>
    <t>BAARN</t>
  </si>
  <si>
    <t>PO BOX 273, 3740 AG BAARN, NETHERLANDS</t>
  </si>
  <si>
    <t>VII</t>
  </si>
  <si>
    <t>WOS:000230869100001</t>
  </si>
  <si>
    <t>de Hoog, GS; Göttlich, E; Platas, G; Genilloud, O; Leotta, G; van Brummelen, J</t>
  </si>
  <si>
    <t>Evolution, taxonomy and ecology of the genus Thelebolus in Antarctica</t>
  </si>
  <si>
    <t>Antarctica; DNA Walk; DNAWD; ecology; endosaprobe; halotolerance; ITS rDNA; microsatellite fingerprinting; phylogeny; psychrophily; SSU rDNA; taxonomy; beta-tubulin</t>
  </si>
  <si>
    <t>LAKE FRYXELL; PHYLOGENETIC ANALYSES; WINDMILL ISLANDS; VESTFOLD HILLS; FUNGI; PEZIZALES; RDNA; ULTRASTRUCTURE; TEMPERATURE; PLANKTON</t>
  </si>
  <si>
    <t>An investigation of the biodiversity of some Antarctic lakes revealed that Thelebolus microsporus was one of the preponderant species. The genus Thelebolus is known to combine psychrophily with growth on dung and guano, suggesting that strains in lake biomats have originated from bird vectors. A natural association with skuas, petrels and other birds was confirmed by an analysis of bird cadavers, which showed frequent intestinal colonisation by T microsporus. Strains did not produce conidia but sporulated in vitro with ascomata on Carrot Agar (CA) at temperatures below 15 degrees C. The asci found were 8-spored and had forcible spore-discharge. Microsatellite data showed that several genotypes were recognisable, some of which had a very limited geographic distibution, suggesting the occurrence of local evolution in the Antarctic. Two undescribed species were encountered in lakes where birds are practically absent. These strains had reduced morphology, lacking forcible spore discharge, but produced conidia in abundance. The development of this morphology is probably attributed to a dramatic change in the life cycle due to the loss of the bird vector. Judging from beta-tubulin data, the species emerged 30-40 million years ago, when the Antarctic continent reached its current position. In an SSU rDNA tree of Thelebolus and purported relatives the genus was shown to have a distant position to remaining cup fungi. The maintenance of a separate order for Thelebolus and similar genera is therefore justified. The psychrotolerant genus Hyphozyma was found to be related, while Antarctomyces appeared closely similar to Thelebolus on the basis of rDNA ITS data; psychrophily apparently is a mainstay in the evolution of Thelebolus. About eighty strains and 181 herbarium collections of the genus Thelebolus, among which most of the ex-type cultures and type specimens, are studied for the morphology of the teleomorph and eventual anamorph. A key is provided for the morphological identification of the four species recognised. Polysporic strains are untited under the name T stercoreus. Thelebolus microsporus has a wide distribution in the Antarctic and elsewhere. Thelebolus globosus Brumm. &amp; de Hoog and Thelebolus ellipsoideus Brumm. &amp; de Hoog are newly described. Both are endemic to Antarctica. A hypothesis on the possible course of evolution in Antarctic Thelebolus is put forward.</t>
  </si>
  <si>
    <t>Cent Bur Schimmelcultures, NL-3508 AD Utrecht, Netherlands; Univ Amsterdam, Inst Biodivers &amp; Ecosyst Dynam, NL-1098 SM Amsterdam, Netherlands; Rheinisch Westfahl Inst Wasserforsch, D-45476 Ruhr, Germany; Merck Sharp &amp; Dohme Espana, E-28027 Madrid, Spain; Univ Nacl La Plata, Catedra Micol Med &amp; Ind, La Plata, Argentina; Natl Herbarium Nederland, NL-2300 RA Leiden, Netherlands</t>
  </si>
  <si>
    <t>University of Amsterdam; Merck &amp; Company; National University of La Plata</t>
  </si>
  <si>
    <t>Cent Bur Schimmelcultures, POB 85167, NL-3508 AD Utrecht, Netherlands.</t>
  </si>
  <si>
    <t>de.hoog@cbs.knaw.nl; brummelen@nhn.leidenuniv.nl</t>
  </si>
  <si>
    <t>Genilloud, Olga/I-2779-2015</t>
  </si>
  <si>
    <t>WOS:000230869100003</t>
  </si>
  <si>
    <t>Gestal, C; Nigmatullin, CM; Hochberg, FG; Guerra, A; Pascual, S</t>
  </si>
  <si>
    <t>Aggregata andresi n. sp (Apicomplexa: Aggregatidae) from the ommastrephid squid Martialia hyadesi in the SW Atlantic Ocean and some general remarks on Aggregata spp. in cephalopod hosts</t>
  </si>
  <si>
    <t>SYSTEMATIC PARASITOLOGY</t>
  </si>
  <si>
    <t>ANTARCTIC POLAR FRONT; FISHERY BIOLOGY; SOUTH-ATLANTIC; MOLLUSCA; PARASITES; EBERTHI; OCTOPODIDAE; ARGENTINA; COCCIDIA; WATERS</t>
  </si>
  <si>
    <t>A new species of coccidian, Aggregata andresi, is described from the digestive tract of the flying squid Martialia hyadesi, an ommastrephid squid that lives in cold subantarctic waters in the Southwest Atlantic. Gamogonic and sporogonic stages were observed in the digestive tract of 96.5% studied hosts. Oocysts were ovoid to subspheroid in shape, 170-590 mum in length and 200-530 mum in width. Each oocyst contained approximately 45,000 sporocysts. Sporocysts measured 9.5-10 mum in length and 8-8.5 mum in width. The surface of the sporocyst wall was smooth and the cyst wall thick. Each sporocyst contained three sporozoites measuring 16-20 mum in length and 2-2.5 mum width. A. andresi is the second species of Aggregata to be reported from a nerito-oceanic cephalopod host.</t>
  </si>
  <si>
    <t>CSIC, Inst Invest Marinas, Vigo 36208, Spain; Def Res Inst Fisheries &amp; Oceanog AtlantNIRO, Kaliningrad 236000, Russia; Santa Barbara Museum Nat Hist, Dept Invertebrate Zool, Santa Barbara, CA 93105 USA; Univ Vigo, Area Parasitol, Grp FEPMAR PB2, Fac Ciencias, Vigo 36200, Spain</t>
  </si>
  <si>
    <t>Consejo Superior de Investigaciones Cientificas (CSIC); CSIC - Instituto de Investigaciones Marinas (IIM); Universidade de Vigo</t>
  </si>
  <si>
    <t>Gestal, C (corresponding author), CSIC, Inst Invest Marinas, Eduardo Cabello 6, Vigo 36208, Spain.</t>
  </si>
  <si>
    <t>Pascual, Sergio/F-8112-2016</t>
  </si>
  <si>
    <t>Pascual, Sergio/0000-0002-9351-6051; Gestal, Camino/0000-0003-1931-9567; Pascual-del Hierro, Santiago/0000-0002-1659-0119</t>
  </si>
  <si>
    <t>0165-5752</t>
  </si>
  <si>
    <t>SYST PARASITOL</t>
  </si>
  <si>
    <t>Syst. Parasitol.</t>
  </si>
  <si>
    <t>10.1007/s11230-004-1385-6</t>
  </si>
  <si>
    <t>Parasitology</t>
  </si>
  <si>
    <t>901JY</t>
  </si>
  <si>
    <t>WOS:000227280000006</t>
  </si>
  <si>
    <t>Harlander, U</t>
  </si>
  <si>
    <t>A high-latitude quasi-geostrophic delta plane model derived from spherical geometry</t>
  </si>
  <si>
    <t>TELLUS SERIES A-DYNAMIC METEOROLOGY AND OCEANOGRAPHY</t>
  </si>
  <si>
    <t>ROTATING CYLINDRICAL ANNULUS; ANTARCTIC CIRCUMPOLAR WAVE; ATMOSPHERIC WAVES; BETA-PLANE; APPROXIMATION; CONVECTION; MODONS; FLOW</t>
  </si>
  <si>
    <t>For quasi-geostrophic models, the beta plane approximation is well established and can be derived from spherical geographic coordinates. It has been argued that such a connection does not exist for a higher-order approximation, the so-called delta plane. Here it will be demonstrated that a quasi-geostrophic potential vorticity equation on the delta plane can formally be derived using rotated geographic instead of geographic coordinates. The rigorous derivation of such a model from the shallow-water equations leads to a correction of previous more intuitive-based formulations of the delta plane model. Some applications of the corrected delta plane model are given. It is shown that the delta plane model describes well the low-frequency basin modes of a polar plane shallow-water model. Moreover, it is found that the westward phase speed of the delta plane model shows a dependency on latitude comparable to a model on the sphere. The ratio of delta to beta plane zonal phase speed decreases monotonically with increasing latitude, in qualitative agreement with the phase speed ratio obtained by comparing a spherical to a beta plane model. Finally, it is demonstrated analytically that Rossby wave energy rays are curved on the delta plane, in contrast to the beta plane. Ray curvature is important for a realistic description of energy dispersion at high latitudes. The results suggest that the quasi-geostrophic delta plane model is a suitable tool for conceptual studies on Rossby wave dynamics at high latitudes.</t>
  </si>
  <si>
    <t>Netherlands Inst Sea Res, NL-1790 AB Den Burg, Netherlands</t>
  </si>
  <si>
    <t>Utrecht University; Royal Netherlands Institute for Sea Research (NIOZ)</t>
  </si>
  <si>
    <t>Harlander, U (corresponding author), Netherlands Inst Sea Res, POB 59, NL-1790 AB Den Burg, Netherlands.</t>
  </si>
  <si>
    <t>harland@nioz.nl</t>
  </si>
  <si>
    <t>CO-ACTION PUBLISHING</t>
  </si>
  <si>
    <t>JARFALLA</t>
  </si>
  <si>
    <t>RIPVAGEN 7, JARFALLA, SE-175 64, SWEDEN</t>
  </si>
  <si>
    <t>0280-6495</t>
  </si>
  <si>
    <t>1600-0870</t>
  </si>
  <si>
    <t>TELLUS A</t>
  </si>
  <si>
    <t>Tellus Ser. A-Dyn. Meteorol. Oceanol.</t>
  </si>
  <si>
    <t>10.1111/j.1600-0870.2005.00083.x</t>
  </si>
  <si>
    <t>888MH</t>
  </si>
  <si>
    <t>WOS:000226377900005</t>
  </si>
  <si>
    <t>Vaughan, APM; Leat, PT; Pankhurst, RJ</t>
  </si>
  <si>
    <t>Vaughan, Alan P. M.; Leat, Philip T.; Pankhurst, Robert J.</t>
  </si>
  <si>
    <t>Terrane processes at the margins of Gondwana: introduction</t>
  </si>
  <si>
    <t>TERRANE PROCESSES AT THE MARGINS OF GONDWANA</t>
  </si>
  <si>
    <t>LACHLAN FOLD BELT; ARGENTINE PRECORDILLERA TERRANE; MARIE-BYRD-LAND; LATE PALEOZOIC SUBDUCTION; ARC-CONTINENT COLLISION; DUN MOUNTAIN OPHIOLITE; NORTHERN VICTORIA LAND; PLATE TECTONIC MODEL; NEW-ZEALAND; U-PB</t>
  </si>
  <si>
    <t>The process of terrane accretion is vital to the understanding of the formation of continental crust. Accretionary orogens affect over half of the globe and have a distinctively different evolution to Wilson-type orogens. It is increasingly evident that accretionary orogenesis has played a significant role in the formation of the continents. The Pacific-margin of Gondwana preserves a major orogenic belt, termed here the 'Australides', which was an active site of terrane accretion from Neoproterozoic to Late Mesozoic times, and comparable in scale to the Rockies from Mexico to Alaska, or the Variscan-Appalachian orogeny. The New Zealand sector of this orogenic belt was one of the birthplaces of terrane theory and the Australide orogeny overall continues to be an important testing ground for terrane studies. This volume summarizes the history and principles of terrane theory and presents 16 new works that review and synthesize the current state of knowledge for the Gondwana margin, from Australia through New Zealand and Antarctica to South America, examining the evolution of the whole Gondwana margin through time.</t>
  </si>
  <si>
    <t>[Vaughan, Alan P. M.; Leat, Philip T.] British Antarctic Survey, Cambridge CB3 0ET, England; [Pankhurst, Robert J.] British Geol Survey, Nottingham NG12 5GG, England</t>
  </si>
  <si>
    <t>UK Research &amp; Innovation (UKRI); Natural Environment Research Council (NERC); NERC British Antarctic Survey; UK Research &amp; Innovation (UKRI); Natural Environment Research Council (NERC); NERC British Geological Survey</t>
  </si>
  <si>
    <t>Vaughan, APM (corresponding author), British Antarctic Survey, Madingley Rd, Cambridge CB3 0ET, England.</t>
  </si>
  <si>
    <t>a.Vaughan@bas.ac.uk</t>
  </si>
  <si>
    <t>Vaughan, Alan PM/B-7829-2010</t>
  </si>
  <si>
    <t>978-1-86239-179-6</t>
  </si>
  <si>
    <t>10.1144/GSL.SP.2005.246.01.01</t>
  </si>
  <si>
    <t>BSJ04</t>
  </si>
  <si>
    <t>WOS:000284585800001</t>
  </si>
  <si>
    <t>Adams, CJ; Pankhurst, RJ; Maas, R; Millar, IL</t>
  </si>
  <si>
    <t>Adams, C. J.; Pankhurst, R. J.; Maas, R.; Millar, I. L.</t>
  </si>
  <si>
    <t>Nd and Sr isotopic signatures of metasedimentary rocks around the South Pacific margin and implications for their provenance</t>
  </si>
  <si>
    <t>LACHLAN FOLD BELT; MOUNTAIN OPHIOLITE BELT; MEDIAN TECTONIC ZONE; EARLY PALEOZOIC TERRANES; EASTERN PALMER LAND; ARC-RELATED BASIN; MARIE-BYRD LAND; NEW-ZEALAND; TORLESSE TERRANE; GONDWANA MARGIN</t>
  </si>
  <si>
    <t>An Nd-Sr isotope database, including c. 200 new analyses, is presented for Palaeozoic and Mesozoic metasedimentary successions extending through southeastern Australia, New Zealand, West Antarctica and the Antarctic Peninsula to southern South America. Combining with U-Pb detrital zircon age data, this enables characterization of New Zealand terranes, especially within the Eastern Province, where there is a progression from westernmost terranes of both volcanic/volcaniclastic and accretionary origin with primitive sediment sources, to easternmost terranes with mature continental sediment inputs. In southern South America, West Antarctica and the Antarctica Peninsula, similar accretionary complexes have Nd model ages principally reflecting mixing of sedimentary material from multiple sources, both mature and juvenile. A mature Gondwana continental provenance dominates in sedimentary basins inboard of the active margin, especially in the Palaeozoic (Western Province, New Zealand, interior West Antarctica and NW Argentina), and contributes significantly to pre-Mesozoic sedimentary rocks of Patagonia east of the Andes. Along the Gondwanaland margin, Nd systematics for younger (late Palaeozoic to early Mesozoic) accretionary complex metasediments reflect younger source inputs, notably in the Scotia metamorphic complex. Many of the accretionary complex deposits must involve significant crustal reworking. There is no apparent South American equivalent of the primitive provenance of the westernmost accretionary terranes of New Zealand.</t>
  </si>
  <si>
    <t>[Adams, C. J.] Inst Geol &amp; Nucl Sci, Lower Hutt, New Zealand; [Pankhurst, R. J.] British Geol Survey, NERC, Isotope Geosci Lab, Nottingham NG12 5GG, England; [Maas, R.] Univ Melbourne, Sch Earth Sci, Melbourne, Vic 3010, Australia; [Millar, I. L.] British Antarctic Survey, Cambridge CB3 0ET, England</t>
  </si>
  <si>
    <t>GNS Science - New Zealand; UK Research &amp; Innovation (UKRI); Natural Environment Research Council (NERC); NERC British Geological Survey; University of Melbourne; Melbourne Bioinformatics; UK Research &amp; Innovation (UKRI); Natural Environment Research Council (NERC); NERC British Antarctic Survey</t>
  </si>
  <si>
    <t>Adams, CJ (corresponding author), Inst Geol &amp; Nucl Sci, POB 30368, Lower Hutt, New Zealand.</t>
  </si>
  <si>
    <t>argon@gns.cri.nz; r.pankhurst@nigl.nerc.ac.uk; maasr@unimelb.edu.au; ilm@bas.ac.uk</t>
  </si>
  <si>
    <t>Millar, Ian L/F-1541-2010</t>
  </si>
  <si>
    <t>10.1144/GSL.SP.2005.246.01.04</t>
  </si>
  <si>
    <t>WOS:000284585800004</t>
  </si>
  <si>
    <t>Vaughan, APM; Livermore, RA</t>
  </si>
  <si>
    <t>Vaughan, A. P. M.; Livermore, R. A.</t>
  </si>
  <si>
    <t>Episodicity of Mesozoic terrane accretion along the Pacific margin of Gondwana: implications for superplume-plate interactions</t>
  </si>
  <si>
    <t>LARGE IGNEOUS PROVINCES; BACK-ARC BASIN; NORTH PATAGONIAN BATHOLITH; TRIASSIC-JURASSIC BOUNDARY; CARBON-CYCLE PERTURBATION; ORDOVICIAN BLACK SHALES; APATITE FISSION-TRACK; FUJIAN COASTAL REGION; MEDIAN TECTONIC ZONE; OCEANIC ANOXIC EVENT</t>
  </si>
  <si>
    <t>A review of evidence for deformation and terrane accretion on the Late Triassic-Early Jurassic margins of Pangaea and the mid-Cretaceous margins of the palaeo-Pacific ocean shows that deformation was global and synchronous with probable superplume events. Late Triassic-Early Jurassic deformation appears to be concentrated in the period 202-197 Ma and was coeval with eruption of the Central Atlantic Magmatic Province, onset of Pangaea break-up, a period of extended normal magnetic polarity and a major mass extinction event, all possible expressions of a superplume event. Mid-Cretaceous deformation occurred in two brief periods, the first from approximately 116 Ma to 110 Ma in the west palaeo-Pacific and the second from roughly] 05 Ma to 99 Ma in the east palaeo-Pacific, with both events possibly represented in northeast Siberia. This deformation was coeval with eruption of major oceanic plateaux, core-complex formation and rifting of New Zealand from Gondwana, the Cretaceous normal polarity epoch, and a major radiation of flowering plants and several animal groups, all linked with the mid-Cretaceous superplume event. A simple unifying mechanism is presented suggesting that large continental or oceanic plates, when impacted by a superplume, tend to break-up/reorganize, associated with gravitational spreading away from a broad, thermally generated topographic high and with a resulting short-lived pulse of plate-marginal deformation and terrane accretion.</t>
  </si>
  <si>
    <t>[Vaughan, A. P. M.; Livermore, R. A.] British Antarctic Survey, Cambridge CB3 0ET, England</t>
  </si>
  <si>
    <t>a.vaughan@bas.ac.uk</t>
  </si>
  <si>
    <t>Livermore, Roy/M-1566-2019; Vaughan, Alan PM/B-7829-2010</t>
  </si>
  <si>
    <t>WOS:000284585800005</t>
  </si>
  <si>
    <t>Wandres, AM; Bradshaw, JD</t>
  </si>
  <si>
    <t>Wandres, A. M.; Bradshaw, J. D.</t>
  </si>
  <si>
    <t>New Zealand tectonostratigraphy and implications from conglomeratic rocks for the configuration of the SW Pacific margin of Gondwana</t>
  </si>
  <si>
    <t>MEDIAN TECTONIC ZONE; MARIE-BYRD-LAND; METAMORPHIC CORE COMPLEX; DUN MOUNTAIN OPHIOLITE; U-PB GEOCHRONOLOGY; EARLY PALEOZOIC TERRANES; BROOK STREET TERRANE; SOUTH-ISLAND; TORLESSE TERRANE; NORTH-ISLAND</t>
  </si>
  <si>
    <t>The active margin of Gondwana is presently preserved in the southwest Pacific region in the formerly continuous Gondwana fragments of Australia, Antarctica and New Zealand. The Phanerozoic tectonic history of New Zealand is interpreted in terms of progressive Pacific-ward growth by accretion of arc-trench systems and the basement rocks are described in terms of a number of volcano-sedimentary accreted terranes, suites and batholiths that intrude the terranes. The age of these basement rocks ranges from Early Cambrian to late Early Cretaceous. The origin of the magmatic and sedimentary rocks and the time of accretion of the New Zealand terranes to the Gondwana margin are important for the understanding of Phanerozoic Pacific tectonics. Geochronological research over the last decade on igneous rocks and conglomeratic units shows that the Tutoko Complex/Amundsen Province plutons are major contributors of detritus to the Pahau depositional basin and that the Antarctic sector of the Panthalassan Gondwana margin has to be (re)considered as the likely source for the Permo-Triassic Rakaia sediments. Igneous clast data have greatly improved understanding of the evolution of the New Zealand micro-continent and have put tighter constraints on its Mesozoic tectonic setting within the south-west Pacific margin of Gondwana.</t>
  </si>
  <si>
    <t>[Wandres, A. M.; Bradshaw, J. D.] Univ Canterbury, Dept Geol Sci, Christchurch 1, New Zealand</t>
  </si>
  <si>
    <t>University of Canterbury</t>
  </si>
  <si>
    <t>Wandres, AM (corresponding author), Univ Canterbury, Dept Geol Sci, Private Bag 4800, Christchurch 1, New Zealand.</t>
  </si>
  <si>
    <t>anekant.wandres@canterbury.ac.nz</t>
  </si>
  <si>
    <t>10.1144/GSL.SP.2005.246.01.06</t>
  </si>
  <si>
    <t>WOS:000284585800006</t>
  </si>
  <si>
    <t>Rapela, CW; Pankhurst, RJ; Fanning, CM; Hervé, F</t>
  </si>
  <si>
    <t>Rapela, C. W.; Pankhurst, R. J.; Fanning, C. M.; Herve, F.</t>
  </si>
  <si>
    <t>Pacific subduction coeval with the Karoo mantle plume: the Early Jurasssic Subcordilleran belt of northwestern Patagonia</t>
  </si>
  <si>
    <t>GONDWANA BREAK-UP; FALKLAND-ISLANDS; ANTARCTIC PENINSULA; CONTINENTAL-CRUST; SOUTH-ATLANTIC; EVOLUTION; MAGMATISM; AGE; GRANITES; ROCKS</t>
  </si>
  <si>
    <t>The Early Mesozoic magmatism of southwestern Gondwana is reviewed in the light of new U-Pb SHRIMP zircon ages (181 +/- 2 Ma, 181 +/- 3 Ma, 185 +/- 2 Ma, and 182 +/- 2 Ma) that establish an Early Jurassic age for the granites of the Subcordilleran plutonic belt in northwestern Argentine Patagonia. New geochemical and isotopic data confirm that this belt represents an early subduction-related magmatic arc along the proto-Pacific margin of Gondwana. Thus, subduction was synchronous with the initial phase of Chon Aike rhyolite volcanism ascribed to the thermal effects of the Karoo mantle plume and heralding rifting of this part of the supercontinent. Overall, there is clear evidence that successive episodes of calc-alkaline arc magmatism from Late Triassic times until establishment of the Andean Patagonian batholith in the Late Jurassic involved westerly migration and clockwise rotation of the arc. This indicates a changing geodynamic regime during Gondwana break-up and suggests differential rollback of the subducted slab, with accretion of new crustal material and/or asymmetrical 'scissor-like' opening of back-arc basins. This almost certainly entailed dextral displacement of continental domains in Patagonia.</t>
  </si>
  <si>
    <t>[Rapela, C. W.] Ctr Invest Geol, RA-1900 La Plata, Argentina; [Pankhurst, R. J.] NERC, Isotope Geosci Lab, Nottingham NG12 5GG, England; [Fanning, C. M.] Australian Natl Univ, Res Sch Earth Sci, PRISE, Canberra, ACT 0200, Australia; [Herve, F.] Univ Chile, Dept Geol, Santiago, Chile</t>
  </si>
  <si>
    <t>UK Research &amp; Innovation (UKRI); Natural Environment Research Council (NERC); NERC British Geological Survey; Australian National University; Universidad de Chile</t>
  </si>
  <si>
    <t>Rapela, CW (corresponding author), Ctr Invest Geol, Calle 1 644, RA-1900 La Plata, Argentina.</t>
  </si>
  <si>
    <t>crapela@cig.museo.unlp.edu.ar</t>
  </si>
  <si>
    <t>Herve, Francisco/HDO-6628-2022; Fanning, Christopher Mark/I-6449-2016</t>
  </si>
  <si>
    <t>Fanning, Christopher Mark/0000-0003-3331-3145</t>
  </si>
  <si>
    <t>10.1144/GSL.SP.2005.246.01.07</t>
  </si>
  <si>
    <t>Green Accepted, Green Published, Green Submitted</t>
  </si>
  <si>
    <t>WOS:000284585800007</t>
  </si>
  <si>
    <t>Tessensohn, F; Henjes-Kunst, F</t>
  </si>
  <si>
    <t>Tessensohn, Franz; Henjes-Kunst, Friedhelm</t>
  </si>
  <si>
    <t>Northern Victoria Land terranes, Antarctica: far-travelled or local products?</t>
  </si>
  <si>
    <t>LANTERMAN RANGE ANTARCTICA; HIGH-PRESSURE METAMORPHISM; ROCK SLATE AGES; ROSS OROGEN; TECTONIC EVOLUTION; CLEAVAGE DEVELOPMENT; RELICT GRANULITES; ACTIVE MARGIN; GONDWANA; GEOCHEMISTRY</t>
  </si>
  <si>
    <t>The early Palaeozoic Ross Orogen in northern Victoria Land, Antarctica, consists of three major fault-bounded tectonostratigraphic terranes. Their true nature, far-travelled or local part of the accretionary collage, is under discussion. The inboard Wilson terrane (WT) consists mainly of high-grade metamorphic rocks intruded by the calc-alkaline magmatic arc of the Ross Orogen. The terrane nature of the WT is doubtful, as it appears more like the leading edge of the East Antarctic craton. The Bowers terrane (BT) comprises a mixed sedimentary-volcanic succession, beginning with volcanic rocks of island-arc character, followed by turbidites, mudstones, conglomerates and fossiliferous Middle Cambrian shallow-water sediments. The whole sequence is capped by a fluvial to deltaic quartzitic series several kilometres thick, with strong continental affinity. The combination of primitive forearc to back-arc volcanics at the bottom and mature continental sediments at the top poses a problem. The outer Robertson Bay terrane (RBT) is made up of a thick turbidite succession which, in one area, contains allochthonous blocks of fossiliferous Tremadocian limestones. All terrane boundaries appear to be distinct fault zones. The WT/BT boundary forms a deep-reaching continent-ocean suture associated with strongly sheared rock units, ultramafic lenses and high-pressure rocks. Coesite in eclogites of the Lanterman Range indicates a depth of burial of around 90 km. A green-schist- facies schist belt marks the BT/RBT boundary. The terranes contain evidence for subduction at an active margin setting as well as for accretion processes along major faults. The present changes of the Cambrian time-scale, such as younging of the base of the Upper Cambrian by about 30 Ma since the 1980s, allow separation of arc formation and later terrane accretion events.</t>
  </si>
  <si>
    <t>[Tessensohn, Franz; Henjes-Kunst, Friedhelm] Bundesanstalt Geowissensch &amp; Rohstoffe, D-30655 Hannover, Germany</t>
  </si>
  <si>
    <t>Tessensohn, F (corresponding author), Bundesanstalt Geowissensch &amp; Rohstoffe, Stilleweg 2, D-30655 Hannover, Germany.</t>
  </si>
  <si>
    <t>franz.tessensohn@tiscali.de</t>
  </si>
  <si>
    <t>10.1144/GSL.SP.2005.246.01.10</t>
  </si>
  <si>
    <t>WOS:000284585800010</t>
  </si>
  <si>
    <t>Stone, P; Thomson, MRA</t>
  </si>
  <si>
    <t>Stone, P.; Thomson, M. R. A.</t>
  </si>
  <si>
    <t>Archaeocyathan limestone blocks of likely Antarctic origin in Gondwanan tillite from the Falkland Islands</t>
  </si>
  <si>
    <t>LATE PALEOZOIC GLACIATION; KING-GEORGE-ISLAND; STRATIGRAPHY; FACIES; RECONSTRUCTION; SEDIMENTOLOGY; HISTORY</t>
  </si>
  <si>
    <t>Cambrian limestone clasts containing a rich, well-preserved archaeocyathan fauna have been recovered from the late Carboniferous Fitzroy Tillite Formation of the Falkland Islands. Since neither Cambrian strata nor limestone are present anywhere in the indigenous rock succession, the clasts are regarded as exotic erratics introduced during the Permo-Carboniferous Gondwana-wide glaciation. Most recent reconstructions of Gondwana rotate the Falklands into proximity with the Eastern Cape, South Africa and the Ellsworth Mountains, Antarctica. in both of these areas, Permo-Carboniferous diamictites correlated with the Fitzroy Tillite Formation also contain rare, exotic clasts of archaeocyathan limestone. The Transantarctic Mountains seem the most likely source for all of these unusual erratics. This interpretation sustains the requirement for substantial rotation of the Falklands microplate into Gondwana reconstructions and illustrates the extent of the late Carboniferous ice sheet. Apparent differences in the tillite clast assemblages between East and West Falkland suggest variable provenance within the regional ice-flow regime.</t>
  </si>
  <si>
    <t>[Stone, P.] British Geol Survey, Edinburgh EH9 3LA, Midlothian, Scotland; [Stone, P.] Dept Mineral Resources, Stanley, Falkland Isl, England; [Thomson, M. R. A.] Univ Leeds, Sch Earth Sci, Leeds LS2 9JT, W Yorkshire, England</t>
  </si>
  <si>
    <t>UK Research &amp; Innovation (UKRI); Natural Environment Research Council (NERC); NERC British Geological Survey; University of Leeds</t>
  </si>
  <si>
    <t>Stone, P (corresponding author), British Geol Survey, Murchison House,W Mains Rd, Edinburgh EH9 3LA, Midlothian, Scotland.</t>
  </si>
  <si>
    <t>psto@bgs.ac.uk; m.thomson@stone-house.demon.co.uk</t>
  </si>
  <si>
    <t>10.1144/GSL.SP.2005.246.01.14</t>
  </si>
  <si>
    <t>WOS:000284585800014</t>
  </si>
  <si>
    <t>Leat, PT; Dean, AA; Millar, IL; Kelley, SP; Vaughan, APM; Riley, TR</t>
  </si>
  <si>
    <t>Leat, P. T.; Dean, A. A.; Millar, I. L.; Kelley, S. P.; Vaughan, A. P. M.; Riley, T. R.</t>
  </si>
  <si>
    <t>Lithospheric mantle domains beneath Antarctica</t>
  </si>
  <si>
    <t>DRONNING-MAUD-LAND; MARIE-BYRD-LAND; ELLSWORTH-WHITMORE MOUNTAINS; PRINCE-CHARLES MOUNTAINS; NORTHERN VICTORIA-LAND; LARGE IGNEOUS PROVINCE; CAPE-MEREDITH COMPLEX; THURSTON ISLAND AREA; GONDWANA BREAK-UP; EAST ANTARCTICA</t>
  </si>
  <si>
    <t>The chemistry of mafic volcanic rocks and minor intrusions erupted on continents can be used to define sub-continental asthenospheric and lithospheric mantle sources. Data have been collated from Antarctica and the Falkland Islands (adjacent in Gondwana) in order to identify lithospheric mantle sources beneath the continent. The lithosphere-derived magmas include lamproitic and some lamprophyric rocks and end-members in basaltic suites that are interpreted as mixtures of magmas from lithospheric and asthenospheric sources. The lithosphere-derived mafic rocks from Archaean to Middle Proterozoic cratonic and circumcratonic areas of East Antarctica have time-corrected end values of -20 to -3. This demands isolation of the LREE-enriched sources within pockets of stable sub-cratonic lithosphere for more than 1 Ga, consistent with the lithosphere thickness up to 250 km imaged by seismic tomography. In contrast, lithosphere-derived mafic rocks from Middle Proterozoic to Early Palaeozoic areas of West Antarctica, Victoria Land and the Falkland Islands that formed the Gondwana continental margin, have time-corrected epsilon(Nd) values of -3.6 to +3.5, implying more recent isolation from asthenosphere. In terms of mantle reservoirs, cratonic and circumcratonic areas trend toward EMI, with EMII possibly being a minor component. In contrast, Gondwana margin areas trend toward EMII, with EMI being, at most, a very minor component.</t>
  </si>
  <si>
    <t>[Leat, P. T.; Dean, A. A.; Vaughan, A. P. M.; Riley, T. R.] British Antarctic Survey, Cambridge CB3 0ET, England; [Millar, I. L.] British Geol Survey, NIGL, British Antarctic Survey, Nottingham NG12 5GG, England; [Kelley, S. P.] Open Univ, Dept Earth Sci, Milton Keynes MK7 6AA, Bucks, England</t>
  </si>
  <si>
    <t>UK Research &amp; Innovation (UKRI); Natural Environment Research Council (NERC); NERC British Antarctic Survey; UK Research &amp; Innovation (UKRI); Natural Environment Research Council (NERC); NERC British Antarctic Survey; NERC British Geological Survey; Open University - UK</t>
  </si>
  <si>
    <t>Leat, PT (corresponding author), British Antarctic Survey, Madingley Rd, Cambridge CB3 0ET, England.</t>
  </si>
  <si>
    <t>p.leat@bas.ac.uk</t>
  </si>
  <si>
    <t>Vaughan, Alan PM/B-7829-2010; Millar, Ian L/F-1541-2010; Kelley, Simon/C-5489-2012</t>
  </si>
  <si>
    <t>Kelley, Simon/0000-0002-1756-0480; Riley, Teal/0000-0002-3333-5021</t>
  </si>
  <si>
    <t>10.1144/GSL.SP.2005.246.01.15</t>
  </si>
  <si>
    <t>WOS:000284585800015</t>
  </si>
  <si>
    <t>Cardoso, J; Power, D; Clark, M</t>
  </si>
  <si>
    <t>Vaudry, H; Roubos, E; Schoofs, L; Fiik, G; Larhammar, D</t>
  </si>
  <si>
    <t>Comparative study of family 2 GPCRs in Fugu rubripes</t>
  </si>
  <si>
    <t>TRENDS IN COMPARATIVE ENDOCRINOLOGY AND NEUROBIOLOGY</t>
  </si>
  <si>
    <t>Annals of the New York Academy of Sciences</t>
  </si>
  <si>
    <t>Conference on Trends in Comparative Endocrinology and Neurobiology</t>
  </si>
  <si>
    <t>AUG 24-28, 2004</t>
  </si>
  <si>
    <t>Uppsala, SWEDEN</t>
  </si>
  <si>
    <t>teleost; duplicated genes; evolution; family 2 GPCRs</t>
  </si>
  <si>
    <t>TELEOST FISH</t>
  </si>
  <si>
    <t>In this study, members of family 2 GPCRs, one of the largest families of receptors in vertebrates, were isolated and characterized in the genome of the Japanese pufferfish, Fugu rubripes, and compared with the orthologous genes in other vertebrates. Phylogenetic analysis carried out with all vertebrate family 2 GPCR members indicated that CALR/CGRPR and CRF are the most divergent receptor group within this family and that the remaining members appear to originate from a common ancestral gene precursor.</t>
  </si>
  <si>
    <t>Univ Algarve, CCMAR, P-8005139 Faro, Portugal; British Antarctic Survey, Cambridge CB3 0ET, England</t>
  </si>
  <si>
    <t>Univ Algarve, CCMAR, Campus Gambelas, P-8005139 Faro, Portugal.</t>
  </si>
  <si>
    <t>jccardo@ualg.pt</t>
  </si>
  <si>
    <t>dos Reis Cardoso, Joao Carlos/M-4151-2013</t>
  </si>
  <si>
    <t>dos Reis Cardoso, Joao Carlos/0000-0001-7890-0170; Power, Deborah/0000-0003-1366-0246</t>
  </si>
  <si>
    <t>NEW YORK ACAD SCIENCES</t>
  </si>
  <si>
    <t>2 EAST 63RD ST, NEW YORK, NY 10021 USA</t>
  </si>
  <si>
    <t>0077-8923</t>
  </si>
  <si>
    <t>1-57331-569-9</t>
  </si>
  <si>
    <t>ANN NY ACAD SCI</t>
  </si>
  <si>
    <t>Ann.NY Acad.Sci.</t>
  </si>
  <si>
    <t>10.1196/annals.1327.037</t>
  </si>
  <si>
    <t>Biochemistry &amp; Molecular Biology; Endocrinology &amp; Metabolism; Multidisciplinary Sciences; Neurosciences</t>
  </si>
  <si>
    <t>Biochemistry &amp; Molecular Biology; Endocrinology &amp; Metabolism; Science &amp; Technology - Other Topics; Neurosciences &amp; Neurology</t>
  </si>
  <si>
    <t>BCR59</t>
  </si>
  <si>
    <t>WOS:000230936100037</t>
  </si>
  <si>
    <t>Clarke, A; Barnes, DKA; Hodgson, DA</t>
  </si>
  <si>
    <t>How isolated is Antarctica?</t>
  </si>
  <si>
    <t>TRENDS IN ECOLOGY &amp; EVOLUTION</t>
  </si>
  <si>
    <t>SOUTHERN-OCEAN; DISPERSAL; SPECIATION; EVOLUTION</t>
  </si>
  <si>
    <t>The traditional view of Antarctica and the surrounding Southern Ocean as an isolated system is now being challenged by the recent discovery at the Antarctic Peninsula of adult spider crabs Hyas areneus from the North Atlantic and of larvae of subpolar marine invertebrates. These observations question whether the well described biogeographical similarities between the benthic fauna of the Antarctic Peninsula and the Magellan region of South America result from history (the two regions were once contiguous), or from a previously unrecognized low level of faunal exchange. Such exchange might be influenced by regional climate change, and also exacerbated by changes in human impact.</t>
  </si>
  <si>
    <t>accl@bas.ac.uk</t>
  </si>
  <si>
    <t>ELSEVIER SCIENCE LONDON</t>
  </si>
  <si>
    <t>84 THEOBALDS RD, LONDON WC1X 8RR, ENGLAND</t>
  </si>
  <si>
    <t>0169-5347</t>
  </si>
  <si>
    <t>1872-8383</t>
  </si>
  <si>
    <t>TRENDS ECOL EVOL</t>
  </si>
  <si>
    <t>Trends Ecol. Evol.</t>
  </si>
  <si>
    <t>10.1016/j.tree.2004.10.004</t>
  </si>
  <si>
    <t>891EY</t>
  </si>
  <si>
    <t>WOS:000226565300001</t>
  </si>
  <si>
    <t>Sakerin, SM; Kabanov, DM</t>
  </si>
  <si>
    <t>Zherebtsov, GA; Matvienko, GG</t>
  </si>
  <si>
    <t>Investigation of the aerosol optical thickness of the atmosphere in South Atlantic during the 19-th cruise of RV Akademik Sergei Vavilov</t>
  </si>
  <si>
    <t>TWELFTH JOINT INTERNATIONAL SYMPOSIUM ON ATMOSPHERIC AND OCEAN OPTICS/ATMOSPHERIC PHYSICS, PTS 1 AND 2</t>
  </si>
  <si>
    <t>12th Joint International Symposium on Atmospheric and Ocean Optics/Atmospheric Physics</t>
  </si>
  <si>
    <t>JUN 27-30, 2005</t>
  </si>
  <si>
    <t>Tomsk, RUSSIA</t>
  </si>
  <si>
    <t>aerosol optical thickness; Antarctic Ocean</t>
  </si>
  <si>
    <t>The results obtained in a new cycle of investigations of the aerosol optical thickness (AOT) are presented. The investigations have been carried out in the 19(th) cruise of RV Akademik Sergei Vavilov in the Atlantic Ocean since October through December 2004. The atmospheric transmittance was measured with sun photometer in the extended spectral region of 0.31 to 4 gm. The most part of the results have been obtained in the southern hemisphere, in particular, in Antarctic Ocean (southward of 3 degrees S). The main attention is paid to the analysis of statistical characteristics of AOT and peculiarities of its spectral dependence in three regions: tropical zone; coastal region (near Cape Town); and Southern Atlantics. It has been found that the atmosphere over ocean in the southern hemisphere has lower AOT values as compared to even more remote regions of the Pacific Ocean. The atmospheric AOTs in the regions southward of 34 degrees S approach the data obtained earlier in Antarctic. Possible causes for the low aerosol content in the atmosphere of the Antarctic Ocean are discussed.</t>
  </si>
  <si>
    <t>Russian Acad Sci, Siberian Branch, Inst Atmospher Opt, Tomsk 634055, Russia</t>
  </si>
  <si>
    <t>Zuev Institute of Atmospheric Optics, Siberian Branch of the Russian Academy of Sciences; Russian Academy of Sciences</t>
  </si>
  <si>
    <t>Sakerin, SM (corresponding author), Russian Acad Sci, Siberian Branch, Inst Atmospher Opt, Akad Ave 1, Tomsk 634055, Russia.</t>
  </si>
  <si>
    <t>sms@iao.ru</t>
  </si>
  <si>
    <t>Sakerin, Sergey/A-6508-2014; Kabanov, Dmitry M./A-5805-2014</t>
  </si>
  <si>
    <t>0-8194-6212-8</t>
  </si>
  <si>
    <t>61602L</t>
  </si>
  <si>
    <t>10.1117/12.675895</t>
  </si>
  <si>
    <t>Meteorology &amp; Atmospheric Sciences; Optics</t>
  </si>
  <si>
    <t>BDW97</t>
  </si>
  <si>
    <t>WOS:000235907100093</t>
  </si>
  <si>
    <t>Vurdelja, J; Vogrin, Z</t>
  </si>
  <si>
    <t>Brebbia, CA; Wadhwa, LC</t>
  </si>
  <si>
    <t>Automotive fuel as an environmental factor</t>
  </si>
  <si>
    <t>Urban Transport XI: URBAN TRANSPORT AND THE ENVIRONMENT IN THE 21ST CENTURY</t>
  </si>
  <si>
    <t>11th International Conference on Urban Transport and the Environment in the 21st Century</t>
  </si>
  <si>
    <t>APR 12-14, 2005</t>
  </si>
  <si>
    <t>Algarve, PORTUGAL</t>
  </si>
  <si>
    <t>ecology; production and exploitation of automobiles; alternative sources of fuel; environment</t>
  </si>
  <si>
    <t>This issue is based on certain claims and extremely alarming facts. First, the increase in production and transport of material goods is directly related to the development of society with the resulting greater consumption of energy sources that are becoming one of the very serious causes affecting the environment, especially regarding air, soil and water pollution. Second, the latest scientific research (carried out by drilling of the Antarctic ice) have proven that the concentrations of greenhouse gases-such as methane and carbon dioxide-are now higher than they have ever been during the last 440 thousand years. Third, in global world dimensions, apart from households, heating plants and thermal power plants, as well as industrial production-transport traffic (especially road vehicles propelled primarily by petrol and diesel fuel) represent the most significant polluters of the human environment considering the atmosphere. Fourth, the available relentless exact data and technical analyses thereof provide a realistic assumption that there will soon come a moment (sometime around the year 2010) when the world will start to feel the lack of the currently expensive oil which is the basis of modern civilisation and economic development. Fifth, respecting the ideas of scientists according to which the development and use of advanced technologies will result, sooner or later, in general catastrophe - it is only logical to conclude that the automotive industry and the use of automobiles certainly have their important share in the mentioned apocalypse. Within this context a question is raised: IS THERE A REASONABLE ALTERNATIVE?! Some of the possible answers are the topic of this paper.</t>
  </si>
  <si>
    <t>Univ Zagreb, Fac Transport &amp; Traff Engn, Zagreb 41000, Croatia</t>
  </si>
  <si>
    <t>University of Zagreb</t>
  </si>
  <si>
    <t>Vurdelja, J (corresponding author), Univ Zagreb, Fac Transport &amp; Traff Engn, Zagreb 41000, Croatia.</t>
  </si>
  <si>
    <t>1-84564-008-X</t>
  </si>
  <si>
    <t>Transportation Science &amp; Technology</t>
  </si>
  <si>
    <t>Transportation</t>
  </si>
  <si>
    <t>BCM94</t>
  </si>
  <si>
    <t>WOS:000230076600054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</si>
</sst>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84</v>
      </c>
      <c r="AA2" t="s">
        <v>85</v>
      </c>
      <c r="AB2" t="s">
        <v>86</v>
      </c>
      <c r="AC2" t="s">
        <v>74</v>
      </c>
      <c r="AD2" t="s">
        <v>74</v>
      </c>
      <c r="AE2" t="s">
        <v>74</v>
      </c>
      <c r="AF2" t="s">
        <v>74</v>
      </c>
      <c r="AG2">
        <v>47</v>
      </c>
      <c r="AH2">
        <v>41</v>
      </c>
      <c r="AI2">
        <v>46</v>
      </c>
      <c r="AJ2">
        <v>0</v>
      </c>
      <c r="AK2">
        <v>12</v>
      </c>
      <c r="AL2" t="s">
        <v>87</v>
      </c>
      <c r="AM2" t="s">
        <v>88</v>
      </c>
      <c r="AN2" t="s">
        <v>89</v>
      </c>
      <c r="AO2" t="s">
        <v>90</v>
      </c>
      <c r="AP2" t="s">
        <v>74</v>
      </c>
      <c r="AQ2" t="s">
        <v>74</v>
      </c>
      <c r="AR2" t="s">
        <v>76</v>
      </c>
      <c r="AS2" t="s">
        <v>91</v>
      </c>
      <c r="AT2" t="s">
        <v>92</v>
      </c>
      <c r="AU2">
        <v>2005</v>
      </c>
      <c r="AV2">
        <v>44</v>
      </c>
      <c r="AW2">
        <v>4</v>
      </c>
      <c r="AX2" t="s">
        <v>74</v>
      </c>
      <c r="AY2" t="s">
        <v>74</v>
      </c>
      <c r="AZ2" t="s">
        <v>74</v>
      </c>
      <c r="BA2" t="s">
        <v>74</v>
      </c>
      <c r="BB2">
        <v>453</v>
      </c>
      <c r="BC2">
        <v>463</v>
      </c>
      <c r="BD2" t="s">
        <v>74</v>
      </c>
      <c r="BE2" t="s">
        <v>93</v>
      </c>
      <c r="BF2" t="str">
        <f>HYPERLINK("http://dx.doi.org/10.2216/0031-8884(2005)44[453:ACAOTN]2.0.CO;2","http://dx.doi.org/10.2216/0031-8884(2005)44[453:ACAOTN]2.0.CO;2")</f>
        <v>http://dx.doi.org/10.2216/0031-8884(2005)44[453:ACAOTN]2.0.CO;2</v>
      </c>
      <c r="BG2" t="s">
        <v>74</v>
      </c>
      <c r="BH2" t="s">
        <v>74</v>
      </c>
      <c r="BI2">
        <v>11</v>
      </c>
      <c r="BJ2" t="s">
        <v>94</v>
      </c>
      <c r="BK2" t="s">
        <v>95</v>
      </c>
      <c r="BL2" t="s">
        <v>94</v>
      </c>
      <c r="BM2" t="s">
        <v>96</v>
      </c>
      <c r="BN2" t="s">
        <v>74</v>
      </c>
      <c r="BO2" t="s">
        <v>74</v>
      </c>
      <c r="BP2" t="s">
        <v>74</v>
      </c>
      <c r="BQ2" t="s">
        <v>74</v>
      </c>
      <c r="BR2" t="s">
        <v>97</v>
      </c>
      <c r="BS2" t="s">
        <v>98</v>
      </c>
      <c r="BT2" t="str">
        <f>HYPERLINK("https%3A%2F%2Fwww.webofscience.com%2Fwos%2Fwoscc%2Ffull-record%2FWOS:000230714700011","View Full Record in Web of Science")</f>
        <v>View Full Record in Web of Science</v>
      </c>
    </row>
    <row r="3" spans="1:72" x14ac:dyDescent="0.15">
      <c r="A3" t="s">
        <v>72</v>
      </c>
      <c r="B3" t="s">
        <v>99</v>
      </c>
      <c r="C3" t="s">
        <v>74</v>
      </c>
      <c r="D3" t="s">
        <v>74</v>
      </c>
      <c r="E3" t="s">
        <v>74</v>
      </c>
      <c r="F3" t="s">
        <v>99</v>
      </c>
      <c r="G3" t="s">
        <v>74</v>
      </c>
      <c r="H3" t="s">
        <v>74</v>
      </c>
      <c r="I3" t="s">
        <v>100</v>
      </c>
      <c r="J3" t="s">
        <v>101</v>
      </c>
      <c r="K3" t="s">
        <v>74</v>
      </c>
      <c r="L3" t="s">
        <v>74</v>
      </c>
      <c r="M3" t="s">
        <v>77</v>
      </c>
      <c r="N3" t="s">
        <v>78</v>
      </c>
      <c r="O3" t="s">
        <v>74</v>
      </c>
      <c r="P3" t="s">
        <v>74</v>
      </c>
      <c r="Q3" t="s">
        <v>74</v>
      </c>
      <c r="R3" t="s">
        <v>74</v>
      </c>
      <c r="S3" t="s">
        <v>74</v>
      </c>
      <c r="T3" t="s">
        <v>74</v>
      </c>
      <c r="U3" t="s">
        <v>102</v>
      </c>
      <c r="V3" t="s">
        <v>103</v>
      </c>
      <c r="W3" t="s">
        <v>104</v>
      </c>
      <c r="X3" t="s">
        <v>105</v>
      </c>
      <c r="Y3" t="s">
        <v>106</v>
      </c>
      <c r="Z3" t="s">
        <v>107</v>
      </c>
      <c r="AA3" t="s">
        <v>108</v>
      </c>
      <c r="AB3" t="s">
        <v>109</v>
      </c>
      <c r="AC3" t="s">
        <v>74</v>
      </c>
      <c r="AD3" t="s">
        <v>74</v>
      </c>
      <c r="AE3" t="s">
        <v>74</v>
      </c>
      <c r="AF3" t="s">
        <v>74</v>
      </c>
      <c r="AG3">
        <v>86</v>
      </c>
      <c r="AH3">
        <v>20</v>
      </c>
      <c r="AI3">
        <v>26</v>
      </c>
      <c r="AJ3">
        <v>0</v>
      </c>
      <c r="AK3">
        <v>11</v>
      </c>
      <c r="AL3" t="s">
        <v>110</v>
      </c>
      <c r="AM3" t="s">
        <v>111</v>
      </c>
      <c r="AN3" t="s">
        <v>112</v>
      </c>
      <c r="AO3" t="s">
        <v>113</v>
      </c>
      <c r="AP3" t="s">
        <v>114</v>
      </c>
      <c r="AQ3" t="s">
        <v>74</v>
      </c>
      <c r="AR3" t="s">
        <v>115</v>
      </c>
      <c r="AS3" t="s">
        <v>116</v>
      </c>
      <c r="AT3" t="s">
        <v>117</v>
      </c>
      <c r="AU3">
        <v>2005</v>
      </c>
      <c r="AV3">
        <v>78</v>
      </c>
      <c r="AW3">
        <v>4</v>
      </c>
      <c r="AX3" t="s">
        <v>74</v>
      </c>
      <c r="AY3" t="s">
        <v>74</v>
      </c>
      <c r="AZ3" t="s">
        <v>74</v>
      </c>
      <c r="BA3" t="s">
        <v>74</v>
      </c>
      <c r="BB3">
        <v>491</v>
      </c>
      <c r="BC3">
        <v>504</v>
      </c>
      <c r="BD3" t="s">
        <v>74</v>
      </c>
      <c r="BE3" t="s">
        <v>118</v>
      </c>
      <c r="BF3" t="str">
        <f>HYPERLINK("http://dx.doi.org/10.1086/430227","http://dx.doi.org/10.1086/430227")</f>
        <v>http://dx.doi.org/10.1086/430227</v>
      </c>
      <c r="BG3" t="s">
        <v>74</v>
      </c>
      <c r="BH3" t="s">
        <v>74</v>
      </c>
      <c r="BI3">
        <v>14</v>
      </c>
      <c r="BJ3" t="s">
        <v>119</v>
      </c>
      <c r="BK3" t="s">
        <v>95</v>
      </c>
      <c r="BL3" t="s">
        <v>119</v>
      </c>
      <c r="BM3" t="s">
        <v>120</v>
      </c>
      <c r="BN3">
        <v>15957104</v>
      </c>
      <c r="BO3" t="s">
        <v>74</v>
      </c>
      <c r="BP3" t="s">
        <v>74</v>
      </c>
      <c r="BQ3" t="s">
        <v>74</v>
      </c>
      <c r="BR3" t="s">
        <v>97</v>
      </c>
      <c r="BS3" t="s">
        <v>121</v>
      </c>
      <c r="BT3" t="str">
        <f>HYPERLINK("https%3A%2F%2Fwww.webofscience.com%2Fwos%2Fwoscc%2Ffull-record%2FWOS:000229979300003","View Full Record in Web of Science")</f>
        <v>View Full Record in Web of Science</v>
      </c>
    </row>
    <row r="4" spans="1:72" x14ac:dyDescent="0.15">
      <c r="A4" t="s">
        <v>72</v>
      </c>
      <c r="B4" t="s">
        <v>122</v>
      </c>
      <c r="C4" t="s">
        <v>74</v>
      </c>
      <c r="D4" t="s">
        <v>74</v>
      </c>
      <c r="E4" t="s">
        <v>74</v>
      </c>
      <c r="F4" t="s">
        <v>122</v>
      </c>
      <c r="G4" t="s">
        <v>74</v>
      </c>
      <c r="H4" t="s">
        <v>74</v>
      </c>
      <c r="I4" t="s">
        <v>123</v>
      </c>
      <c r="J4" t="s">
        <v>124</v>
      </c>
      <c r="K4" t="s">
        <v>74</v>
      </c>
      <c r="L4" t="s">
        <v>74</v>
      </c>
      <c r="M4" t="s">
        <v>77</v>
      </c>
      <c r="N4" t="s">
        <v>78</v>
      </c>
      <c r="O4" t="s">
        <v>74</v>
      </c>
      <c r="P4" t="s">
        <v>74</v>
      </c>
      <c r="Q4" t="s">
        <v>74</v>
      </c>
      <c r="R4" t="s">
        <v>74</v>
      </c>
      <c r="S4" t="s">
        <v>74</v>
      </c>
      <c r="T4" t="s">
        <v>74</v>
      </c>
      <c r="U4" t="s">
        <v>125</v>
      </c>
      <c r="V4" t="s">
        <v>126</v>
      </c>
      <c r="W4" t="s">
        <v>127</v>
      </c>
      <c r="X4" t="s">
        <v>128</v>
      </c>
      <c r="Y4" t="s">
        <v>129</v>
      </c>
      <c r="Z4" t="s">
        <v>130</v>
      </c>
      <c r="AA4" t="s">
        <v>131</v>
      </c>
      <c r="AB4" t="s">
        <v>132</v>
      </c>
      <c r="AC4" t="s">
        <v>74</v>
      </c>
      <c r="AD4" t="s">
        <v>74</v>
      </c>
      <c r="AE4" t="s">
        <v>74</v>
      </c>
      <c r="AF4" t="s">
        <v>74</v>
      </c>
      <c r="AG4">
        <v>47</v>
      </c>
      <c r="AH4">
        <v>57</v>
      </c>
      <c r="AI4">
        <v>63</v>
      </c>
      <c r="AJ4">
        <v>0</v>
      </c>
      <c r="AK4">
        <v>14</v>
      </c>
      <c r="AL4" t="s">
        <v>133</v>
      </c>
      <c r="AM4" t="s">
        <v>134</v>
      </c>
      <c r="AN4" t="s">
        <v>135</v>
      </c>
      <c r="AO4" t="s">
        <v>136</v>
      </c>
      <c r="AP4" t="s">
        <v>74</v>
      </c>
      <c r="AQ4" t="s">
        <v>74</v>
      </c>
      <c r="AR4" t="s">
        <v>137</v>
      </c>
      <c r="AS4" t="s">
        <v>138</v>
      </c>
      <c r="AT4" t="s">
        <v>92</v>
      </c>
      <c r="AU4">
        <v>2005</v>
      </c>
      <c r="AV4">
        <v>28</v>
      </c>
      <c r="AW4">
        <v>8</v>
      </c>
      <c r="AX4" t="s">
        <v>74</v>
      </c>
      <c r="AY4" t="s">
        <v>74</v>
      </c>
      <c r="AZ4" t="s">
        <v>74</v>
      </c>
      <c r="BA4" t="s">
        <v>74</v>
      </c>
      <c r="BB4">
        <v>575</v>
      </c>
      <c r="BC4">
        <v>584</v>
      </c>
      <c r="BD4" t="s">
        <v>74</v>
      </c>
      <c r="BE4" t="s">
        <v>139</v>
      </c>
      <c r="BF4" t="str">
        <f>HYPERLINK("http://dx.doi.org/10.1007/s00300-005-0730-9","http://dx.doi.org/10.1007/s00300-005-0730-9")</f>
        <v>http://dx.doi.org/10.1007/s00300-005-0730-9</v>
      </c>
      <c r="BG4" t="s">
        <v>74</v>
      </c>
      <c r="BH4" t="s">
        <v>74</v>
      </c>
      <c r="BI4">
        <v>10</v>
      </c>
      <c r="BJ4" t="s">
        <v>140</v>
      </c>
      <c r="BK4" t="s">
        <v>95</v>
      </c>
      <c r="BL4" t="s">
        <v>141</v>
      </c>
      <c r="BM4" t="s">
        <v>142</v>
      </c>
      <c r="BN4" t="s">
        <v>74</v>
      </c>
      <c r="BO4" t="s">
        <v>143</v>
      </c>
      <c r="BP4" t="s">
        <v>74</v>
      </c>
      <c r="BQ4" t="s">
        <v>74</v>
      </c>
      <c r="BR4" t="s">
        <v>97</v>
      </c>
      <c r="BS4" t="s">
        <v>144</v>
      </c>
      <c r="BT4" t="str">
        <f>HYPERLINK("https%3A%2F%2Fwww.webofscience.com%2Fwos%2Fwoscc%2Ffull-record%2FWOS:000230176000001","View Full Record in Web of Science")</f>
        <v>View Full Record in Web of Science</v>
      </c>
    </row>
    <row r="5" spans="1:72" x14ac:dyDescent="0.15">
      <c r="A5" t="s">
        <v>72</v>
      </c>
      <c r="B5" t="s">
        <v>145</v>
      </c>
      <c r="C5" t="s">
        <v>74</v>
      </c>
      <c r="D5" t="s">
        <v>74</v>
      </c>
      <c r="E5" t="s">
        <v>74</v>
      </c>
      <c r="F5" t="s">
        <v>145</v>
      </c>
      <c r="G5" t="s">
        <v>74</v>
      </c>
      <c r="H5" t="s">
        <v>74</v>
      </c>
      <c r="I5" t="s">
        <v>146</v>
      </c>
      <c r="J5" t="s">
        <v>124</v>
      </c>
      <c r="K5" t="s">
        <v>74</v>
      </c>
      <c r="L5" t="s">
        <v>74</v>
      </c>
      <c r="M5" t="s">
        <v>77</v>
      </c>
      <c r="N5" t="s">
        <v>78</v>
      </c>
      <c r="O5" t="s">
        <v>74</v>
      </c>
      <c r="P5" t="s">
        <v>74</v>
      </c>
      <c r="Q5" t="s">
        <v>74</v>
      </c>
      <c r="R5" t="s">
        <v>74</v>
      </c>
      <c r="S5" t="s">
        <v>74</v>
      </c>
      <c r="T5" t="s">
        <v>74</v>
      </c>
      <c r="U5" t="s">
        <v>147</v>
      </c>
      <c r="V5" t="s">
        <v>148</v>
      </c>
      <c r="W5" t="s">
        <v>149</v>
      </c>
      <c r="X5" t="s">
        <v>150</v>
      </c>
      <c r="Y5" t="s">
        <v>151</v>
      </c>
      <c r="Z5" t="s">
        <v>152</v>
      </c>
      <c r="AA5" t="s">
        <v>153</v>
      </c>
      <c r="AB5" t="s">
        <v>154</v>
      </c>
      <c r="AC5" t="s">
        <v>74</v>
      </c>
      <c r="AD5" t="s">
        <v>74</v>
      </c>
      <c r="AE5" t="s">
        <v>74</v>
      </c>
      <c r="AF5" t="s">
        <v>74</v>
      </c>
      <c r="AG5">
        <v>27</v>
      </c>
      <c r="AH5">
        <v>20</v>
      </c>
      <c r="AI5">
        <v>23</v>
      </c>
      <c r="AJ5">
        <v>2</v>
      </c>
      <c r="AK5">
        <v>12</v>
      </c>
      <c r="AL5" t="s">
        <v>133</v>
      </c>
      <c r="AM5" t="s">
        <v>134</v>
      </c>
      <c r="AN5" t="s">
        <v>155</v>
      </c>
      <c r="AO5" t="s">
        <v>136</v>
      </c>
      <c r="AP5" t="s">
        <v>156</v>
      </c>
      <c r="AQ5" t="s">
        <v>74</v>
      </c>
      <c r="AR5" t="s">
        <v>137</v>
      </c>
      <c r="AS5" t="s">
        <v>138</v>
      </c>
      <c r="AT5" t="s">
        <v>92</v>
      </c>
      <c r="AU5">
        <v>2005</v>
      </c>
      <c r="AV5">
        <v>28</v>
      </c>
      <c r="AW5">
        <v>8</v>
      </c>
      <c r="AX5" t="s">
        <v>74</v>
      </c>
      <c r="AY5" t="s">
        <v>74</v>
      </c>
      <c r="AZ5" t="s">
        <v>74</v>
      </c>
      <c r="BA5" t="s">
        <v>74</v>
      </c>
      <c r="BB5">
        <v>585</v>
      </c>
      <c r="BC5">
        <v>593</v>
      </c>
      <c r="BD5" t="s">
        <v>74</v>
      </c>
      <c r="BE5" t="s">
        <v>157</v>
      </c>
      <c r="BF5" t="str">
        <f>HYPERLINK("http://dx.doi.org/10.1007/s00300-005-0729-2","http://dx.doi.org/10.1007/s00300-005-0729-2")</f>
        <v>http://dx.doi.org/10.1007/s00300-005-0729-2</v>
      </c>
      <c r="BG5" t="s">
        <v>74</v>
      </c>
      <c r="BH5" t="s">
        <v>74</v>
      </c>
      <c r="BI5">
        <v>9</v>
      </c>
      <c r="BJ5" t="s">
        <v>140</v>
      </c>
      <c r="BK5" t="s">
        <v>95</v>
      </c>
      <c r="BL5" t="s">
        <v>141</v>
      </c>
      <c r="BM5" t="s">
        <v>142</v>
      </c>
      <c r="BN5" t="s">
        <v>74</v>
      </c>
      <c r="BO5" t="s">
        <v>74</v>
      </c>
      <c r="BP5" t="s">
        <v>74</v>
      </c>
      <c r="BQ5" t="s">
        <v>74</v>
      </c>
      <c r="BR5" t="s">
        <v>97</v>
      </c>
      <c r="BS5" t="s">
        <v>158</v>
      </c>
      <c r="BT5" t="str">
        <f>HYPERLINK("https%3A%2F%2Fwww.webofscience.com%2Fwos%2Fwoscc%2Ffull-record%2FWOS:000230176000002","View Full Record in Web of Science")</f>
        <v>View Full Record in Web of Science</v>
      </c>
    </row>
    <row r="6" spans="1:72" x14ac:dyDescent="0.15">
      <c r="A6" t="s">
        <v>72</v>
      </c>
      <c r="B6" t="s">
        <v>159</v>
      </c>
      <c r="C6" t="s">
        <v>74</v>
      </c>
      <c r="D6" t="s">
        <v>74</v>
      </c>
      <c r="E6" t="s">
        <v>74</v>
      </c>
      <c r="F6" t="s">
        <v>159</v>
      </c>
      <c r="G6" t="s">
        <v>74</v>
      </c>
      <c r="H6" t="s">
        <v>74</v>
      </c>
      <c r="I6" t="s">
        <v>160</v>
      </c>
      <c r="J6" t="s">
        <v>124</v>
      </c>
      <c r="K6" t="s">
        <v>74</v>
      </c>
      <c r="L6" t="s">
        <v>74</v>
      </c>
      <c r="M6" t="s">
        <v>77</v>
      </c>
      <c r="N6" t="s">
        <v>78</v>
      </c>
      <c r="O6" t="s">
        <v>74</v>
      </c>
      <c r="P6" t="s">
        <v>74</v>
      </c>
      <c r="Q6" t="s">
        <v>74</v>
      </c>
      <c r="R6" t="s">
        <v>74</v>
      </c>
      <c r="S6" t="s">
        <v>74</v>
      </c>
      <c r="T6" t="s">
        <v>74</v>
      </c>
      <c r="U6" t="s">
        <v>161</v>
      </c>
      <c r="V6" t="s">
        <v>162</v>
      </c>
      <c r="W6" t="s">
        <v>163</v>
      </c>
      <c r="X6" t="s">
        <v>164</v>
      </c>
      <c r="Y6" t="s">
        <v>165</v>
      </c>
      <c r="Z6" t="s">
        <v>166</v>
      </c>
      <c r="AA6" t="s">
        <v>167</v>
      </c>
      <c r="AB6" t="s">
        <v>168</v>
      </c>
      <c r="AC6" t="s">
        <v>74</v>
      </c>
      <c r="AD6" t="s">
        <v>74</v>
      </c>
      <c r="AE6" t="s">
        <v>74</v>
      </c>
      <c r="AF6" t="s">
        <v>74</v>
      </c>
      <c r="AG6">
        <v>47</v>
      </c>
      <c r="AH6">
        <v>25</v>
      </c>
      <c r="AI6">
        <v>27</v>
      </c>
      <c r="AJ6">
        <v>0</v>
      </c>
      <c r="AK6">
        <v>8</v>
      </c>
      <c r="AL6" t="s">
        <v>133</v>
      </c>
      <c r="AM6" t="s">
        <v>134</v>
      </c>
      <c r="AN6" t="s">
        <v>155</v>
      </c>
      <c r="AO6" t="s">
        <v>136</v>
      </c>
      <c r="AP6" t="s">
        <v>156</v>
      </c>
      <c r="AQ6" t="s">
        <v>74</v>
      </c>
      <c r="AR6" t="s">
        <v>137</v>
      </c>
      <c r="AS6" t="s">
        <v>138</v>
      </c>
      <c r="AT6" t="s">
        <v>92</v>
      </c>
      <c r="AU6">
        <v>2005</v>
      </c>
      <c r="AV6">
        <v>28</v>
      </c>
      <c r="AW6">
        <v>8</v>
      </c>
      <c r="AX6" t="s">
        <v>74</v>
      </c>
      <c r="AY6" t="s">
        <v>74</v>
      </c>
      <c r="AZ6" t="s">
        <v>74</v>
      </c>
      <c r="BA6" t="s">
        <v>74</v>
      </c>
      <c r="BB6">
        <v>594</v>
      </c>
      <c r="BC6">
        <v>606</v>
      </c>
      <c r="BD6" t="s">
        <v>74</v>
      </c>
      <c r="BE6" t="s">
        <v>169</v>
      </c>
      <c r="BF6" t="str">
        <f>HYPERLINK("http://dx.doi.org/10.1007/s00300-005-0728-3","http://dx.doi.org/10.1007/s00300-005-0728-3")</f>
        <v>http://dx.doi.org/10.1007/s00300-005-0728-3</v>
      </c>
      <c r="BG6" t="s">
        <v>74</v>
      </c>
      <c r="BH6" t="s">
        <v>74</v>
      </c>
      <c r="BI6">
        <v>13</v>
      </c>
      <c r="BJ6" t="s">
        <v>140</v>
      </c>
      <c r="BK6" t="s">
        <v>95</v>
      </c>
      <c r="BL6" t="s">
        <v>141</v>
      </c>
      <c r="BM6" t="s">
        <v>142</v>
      </c>
      <c r="BN6" t="s">
        <v>74</v>
      </c>
      <c r="BO6" t="s">
        <v>74</v>
      </c>
      <c r="BP6" t="s">
        <v>74</v>
      </c>
      <c r="BQ6" t="s">
        <v>74</v>
      </c>
      <c r="BR6" t="s">
        <v>97</v>
      </c>
      <c r="BS6" t="s">
        <v>170</v>
      </c>
      <c r="BT6" t="str">
        <f>HYPERLINK("https%3A%2F%2Fwww.webofscience.com%2Fwos%2Fwoscc%2Ffull-record%2FWOS:000230176000003","View Full Record in Web of Science")</f>
        <v>View Full Record in Web of Science</v>
      </c>
    </row>
    <row r="7" spans="1:72" x14ac:dyDescent="0.15">
      <c r="A7" t="s">
        <v>72</v>
      </c>
      <c r="B7" t="s">
        <v>171</v>
      </c>
      <c r="C7" t="s">
        <v>74</v>
      </c>
      <c r="D7" t="s">
        <v>74</v>
      </c>
      <c r="E7" t="s">
        <v>74</v>
      </c>
      <c r="F7" t="s">
        <v>171</v>
      </c>
      <c r="G7" t="s">
        <v>74</v>
      </c>
      <c r="H7" t="s">
        <v>74</v>
      </c>
      <c r="I7" t="s">
        <v>172</v>
      </c>
      <c r="J7" t="s">
        <v>124</v>
      </c>
      <c r="K7" t="s">
        <v>74</v>
      </c>
      <c r="L7" t="s">
        <v>74</v>
      </c>
      <c r="M7" t="s">
        <v>77</v>
      </c>
      <c r="N7" t="s">
        <v>78</v>
      </c>
      <c r="O7" t="s">
        <v>74</v>
      </c>
      <c r="P7" t="s">
        <v>74</v>
      </c>
      <c r="Q7" t="s">
        <v>74</v>
      </c>
      <c r="R7" t="s">
        <v>74</v>
      </c>
      <c r="S7" t="s">
        <v>74</v>
      </c>
      <c r="T7" t="s">
        <v>74</v>
      </c>
      <c r="U7" t="s">
        <v>173</v>
      </c>
      <c r="V7" t="s">
        <v>174</v>
      </c>
      <c r="W7" t="s">
        <v>175</v>
      </c>
      <c r="X7" t="s">
        <v>176</v>
      </c>
      <c r="Y7" t="s">
        <v>177</v>
      </c>
      <c r="Z7" t="s">
        <v>178</v>
      </c>
      <c r="AA7" t="s">
        <v>179</v>
      </c>
      <c r="AB7" t="s">
        <v>180</v>
      </c>
      <c r="AC7" t="s">
        <v>74</v>
      </c>
      <c r="AD7" t="s">
        <v>74</v>
      </c>
      <c r="AE7" t="s">
        <v>74</v>
      </c>
      <c r="AF7" t="s">
        <v>74</v>
      </c>
      <c r="AG7">
        <v>58</v>
      </c>
      <c r="AH7">
        <v>19</v>
      </c>
      <c r="AI7">
        <v>21</v>
      </c>
      <c r="AJ7">
        <v>0</v>
      </c>
      <c r="AK7">
        <v>12</v>
      </c>
      <c r="AL7" t="s">
        <v>133</v>
      </c>
      <c r="AM7" t="s">
        <v>134</v>
      </c>
      <c r="AN7" t="s">
        <v>181</v>
      </c>
      <c r="AO7" t="s">
        <v>136</v>
      </c>
      <c r="AP7" t="s">
        <v>156</v>
      </c>
      <c r="AQ7" t="s">
        <v>74</v>
      </c>
      <c r="AR7" t="s">
        <v>137</v>
      </c>
      <c r="AS7" t="s">
        <v>138</v>
      </c>
      <c r="AT7" t="s">
        <v>92</v>
      </c>
      <c r="AU7">
        <v>2005</v>
      </c>
      <c r="AV7">
        <v>28</v>
      </c>
      <c r="AW7">
        <v>8</v>
      </c>
      <c r="AX7" t="s">
        <v>74</v>
      </c>
      <c r="AY7" t="s">
        <v>74</v>
      </c>
      <c r="AZ7" t="s">
        <v>74</v>
      </c>
      <c r="BA7" t="s">
        <v>74</v>
      </c>
      <c r="BB7">
        <v>607</v>
      </c>
      <c r="BC7">
        <v>618</v>
      </c>
      <c r="BD7" t="s">
        <v>74</v>
      </c>
      <c r="BE7" t="s">
        <v>182</v>
      </c>
      <c r="BF7" t="str">
        <f>HYPERLINK("http://dx.doi.org/10.1007/s00300-005-0727-4","http://dx.doi.org/10.1007/s00300-005-0727-4")</f>
        <v>http://dx.doi.org/10.1007/s00300-005-0727-4</v>
      </c>
      <c r="BG7" t="s">
        <v>74</v>
      </c>
      <c r="BH7" t="s">
        <v>74</v>
      </c>
      <c r="BI7">
        <v>12</v>
      </c>
      <c r="BJ7" t="s">
        <v>140</v>
      </c>
      <c r="BK7" t="s">
        <v>95</v>
      </c>
      <c r="BL7" t="s">
        <v>141</v>
      </c>
      <c r="BM7" t="s">
        <v>142</v>
      </c>
      <c r="BN7" t="s">
        <v>74</v>
      </c>
      <c r="BO7" t="s">
        <v>74</v>
      </c>
      <c r="BP7" t="s">
        <v>74</v>
      </c>
      <c r="BQ7" t="s">
        <v>74</v>
      </c>
      <c r="BR7" t="s">
        <v>97</v>
      </c>
      <c r="BS7" t="s">
        <v>183</v>
      </c>
      <c r="BT7" t="str">
        <f>HYPERLINK("https%3A%2F%2Fwww.webofscience.com%2Fwos%2Fwoscc%2Ffull-record%2FWOS:000230176000004","View Full Record in Web of Science")</f>
        <v>View Full Record in Web of Science</v>
      </c>
    </row>
    <row r="8" spans="1:72" x14ac:dyDescent="0.15">
      <c r="A8" t="s">
        <v>72</v>
      </c>
      <c r="B8" t="s">
        <v>184</v>
      </c>
      <c r="C8" t="s">
        <v>74</v>
      </c>
      <c r="D8" t="s">
        <v>74</v>
      </c>
      <c r="E8" t="s">
        <v>74</v>
      </c>
      <c r="F8" t="s">
        <v>184</v>
      </c>
      <c r="G8" t="s">
        <v>74</v>
      </c>
      <c r="H8" t="s">
        <v>74</v>
      </c>
      <c r="I8" t="s">
        <v>185</v>
      </c>
      <c r="J8" t="s">
        <v>124</v>
      </c>
      <c r="K8" t="s">
        <v>74</v>
      </c>
      <c r="L8" t="s">
        <v>74</v>
      </c>
      <c r="M8" t="s">
        <v>77</v>
      </c>
      <c r="N8" t="s">
        <v>78</v>
      </c>
      <c r="O8" t="s">
        <v>74</v>
      </c>
      <c r="P8" t="s">
        <v>74</v>
      </c>
      <c r="Q8" t="s">
        <v>74</v>
      </c>
      <c r="R8" t="s">
        <v>74</v>
      </c>
      <c r="S8" t="s">
        <v>74</v>
      </c>
      <c r="T8" t="s">
        <v>74</v>
      </c>
      <c r="U8" t="s">
        <v>186</v>
      </c>
      <c r="V8" t="s">
        <v>187</v>
      </c>
      <c r="W8" t="s">
        <v>188</v>
      </c>
      <c r="X8" t="s">
        <v>189</v>
      </c>
      <c r="Y8" t="s">
        <v>190</v>
      </c>
      <c r="Z8" t="s">
        <v>191</v>
      </c>
      <c r="AA8" t="s">
        <v>74</v>
      </c>
      <c r="AB8" t="s">
        <v>74</v>
      </c>
      <c r="AC8" t="s">
        <v>74</v>
      </c>
      <c r="AD8" t="s">
        <v>74</v>
      </c>
      <c r="AE8" t="s">
        <v>74</v>
      </c>
      <c r="AF8" t="s">
        <v>74</v>
      </c>
      <c r="AG8">
        <v>21</v>
      </c>
      <c r="AH8">
        <v>10</v>
      </c>
      <c r="AI8">
        <v>11</v>
      </c>
      <c r="AJ8">
        <v>0</v>
      </c>
      <c r="AK8">
        <v>0</v>
      </c>
      <c r="AL8" t="s">
        <v>133</v>
      </c>
      <c r="AM8" t="s">
        <v>134</v>
      </c>
      <c r="AN8" t="s">
        <v>155</v>
      </c>
      <c r="AO8" t="s">
        <v>136</v>
      </c>
      <c r="AP8" t="s">
        <v>156</v>
      </c>
      <c r="AQ8" t="s">
        <v>74</v>
      </c>
      <c r="AR8" t="s">
        <v>137</v>
      </c>
      <c r="AS8" t="s">
        <v>138</v>
      </c>
      <c r="AT8" t="s">
        <v>92</v>
      </c>
      <c r="AU8">
        <v>2005</v>
      </c>
      <c r="AV8">
        <v>28</v>
      </c>
      <c r="AW8">
        <v>8</v>
      </c>
      <c r="AX8" t="s">
        <v>74</v>
      </c>
      <c r="AY8" t="s">
        <v>74</v>
      </c>
      <c r="AZ8" t="s">
        <v>74</v>
      </c>
      <c r="BA8" t="s">
        <v>74</v>
      </c>
      <c r="BB8">
        <v>631</v>
      </c>
      <c r="BC8">
        <v>636</v>
      </c>
      <c r="BD8" t="s">
        <v>74</v>
      </c>
      <c r="BE8" t="s">
        <v>192</v>
      </c>
      <c r="BF8" t="str">
        <f>HYPERLINK("http://dx.doi.org/10.1007/s00300-005-0725-6","http://dx.doi.org/10.1007/s00300-005-0725-6")</f>
        <v>http://dx.doi.org/10.1007/s00300-005-0725-6</v>
      </c>
      <c r="BG8" t="s">
        <v>74</v>
      </c>
      <c r="BH8" t="s">
        <v>74</v>
      </c>
      <c r="BI8">
        <v>6</v>
      </c>
      <c r="BJ8" t="s">
        <v>140</v>
      </c>
      <c r="BK8" t="s">
        <v>95</v>
      </c>
      <c r="BL8" t="s">
        <v>141</v>
      </c>
      <c r="BM8" t="s">
        <v>142</v>
      </c>
      <c r="BN8" t="s">
        <v>74</v>
      </c>
      <c r="BO8" t="s">
        <v>74</v>
      </c>
      <c r="BP8" t="s">
        <v>74</v>
      </c>
      <c r="BQ8" t="s">
        <v>74</v>
      </c>
      <c r="BR8" t="s">
        <v>97</v>
      </c>
      <c r="BS8" t="s">
        <v>193</v>
      </c>
      <c r="BT8" t="str">
        <f>HYPERLINK("https%3A%2F%2Fwww.webofscience.com%2Fwos%2Fwoscc%2Ffull-record%2FWOS:000230176000006","View Full Record in Web of Science")</f>
        <v>View Full Record in Web of Science</v>
      </c>
    </row>
    <row r="9" spans="1:72" x14ac:dyDescent="0.15">
      <c r="A9" t="s">
        <v>72</v>
      </c>
      <c r="B9" t="s">
        <v>194</v>
      </c>
      <c r="C9" t="s">
        <v>74</v>
      </c>
      <c r="D9" t="s">
        <v>74</v>
      </c>
      <c r="E9" t="s">
        <v>74</v>
      </c>
      <c r="F9" t="s">
        <v>194</v>
      </c>
      <c r="G9" t="s">
        <v>74</v>
      </c>
      <c r="H9" t="s">
        <v>74</v>
      </c>
      <c r="I9" t="s">
        <v>195</v>
      </c>
      <c r="J9" t="s">
        <v>124</v>
      </c>
      <c r="K9" t="s">
        <v>74</v>
      </c>
      <c r="L9" t="s">
        <v>74</v>
      </c>
      <c r="M9" t="s">
        <v>77</v>
      </c>
      <c r="N9" t="s">
        <v>78</v>
      </c>
      <c r="O9" t="s">
        <v>74</v>
      </c>
      <c r="P9" t="s">
        <v>74</v>
      </c>
      <c r="Q9" t="s">
        <v>74</v>
      </c>
      <c r="R9" t="s">
        <v>74</v>
      </c>
      <c r="S9" t="s">
        <v>74</v>
      </c>
      <c r="T9" t="s">
        <v>74</v>
      </c>
      <c r="U9" t="s">
        <v>196</v>
      </c>
      <c r="V9" t="s">
        <v>197</v>
      </c>
      <c r="W9" t="s">
        <v>198</v>
      </c>
      <c r="X9" t="s">
        <v>199</v>
      </c>
      <c r="Y9" t="s">
        <v>200</v>
      </c>
      <c r="Z9" t="s">
        <v>201</v>
      </c>
      <c r="AA9" t="s">
        <v>202</v>
      </c>
      <c r="AB9" t="s">
        <v>203</v>
      </c>
      <c r="AC9" t="s">
        <v>74</v>
      </c>
      <c r="AD9" t="s">
        <v>74</v>
      </c>
      <c r="AE9" t="s">
        <v>74</v>
      </c>
      <c r="AF9" t="s">
        <v>74</v>
      </c>
      <c r="AG9">
        <v>26</v>
      </c>
      <c r="AH9">
        <v>29</v>
      </c>
      <c r="AI9">
        <v>30</v>
      </c>
      <c r="AJ9">
        <v>0</v>
      </c>
      <c r="AK9">
        <v>6</v>
      </c>
      <c r="AL9" t="s">
        <v>133</v>
      </c>
      <c r="AM9" t="s">
        <v>134</v>
      </c>
      <c r="AN9" t="s">
        <v>155</v>
      </c>
      <c r="AO9" t="s">
        <v>136</v>
      </c>
      <c r="AP9" t="s">
        <v>74</v>
      </c>
      <c r="AQ9" t="s">
        <v>74</v>
      </c>
      <c r="AR9" t="s">
        <v>137</v>
      </c>
      <c r="AS9" t="s">
        <v>138</v>
      </c>
      <c r="AT9" t="s">
        <v>92</v>
      </c>
      <c r="AU9">
        <v>2005</v>
      </c>
      <c r="AV9">
        <v>28</v>
      </c>
      <c r="AW9">
        <v>8</v>
      </c>
      <c r="AX9" t="s">
        <v>74</v>
      </c>
      <c r="AY9" t="s">
        <v>74</v>
      </c>
      <c r="AZ9" t="s">
        <v>74</v>
      </c>
      <c r="BA9" t="s">
        <v>74</v>
      </c>
      <c r="BB9">
        <v>642</v>
      </c>
      <c r="BC9">
        <v>646</v>
      </c>
      <c r="BD9" t="s">
        <v>74</v>
      </c>
      <c r="BE9" t="s">
        <v>204</v>
      </c>
      <c r="BF9" t="str">
        <f>HYPERLINK("http://dx.doi.org/10.1007/s00300-005-0722-9","http://dx.doi.org/10.1007/s00300-005-0722-9")</f>
        <v>http://dx.doi.org/10.1007/s00300-005-0722-9</v>
      </c>
      <c r="BG9" t="s">
        <v>74</v>
      </c>
      <c r="BH9" t="s">
        <v>74</v>
      </c>
      <c r="BI9">
        <v>5</v>
      </c>
      <c r="BJ9" t="s">
        <v>140</v>
      </c>
      <c r="BK9" t="s">
        <v>95</v>
      </c>
      <c r="BL9" t="s">
        <v>141</v>
      </c>
      <c r="BM9" t="s">
        <v>142</v>
      </c>
      <c r="BN9" t="s">
        <v>74</v>
      </c>
      <c r="BO9" t="s">
        <v>143</v>
      </c>
      <c r="BP9" t="s">
        <v>74</v>
      </c>
      <c r="BQ9" t="s">
        <v>74</v>
      </c>
      <c r="BR9" t="s">
        <v>97</v>
      </c>
      <c r="BS9" t="s">
        <v>205</v>
      </c>
      <c r="BT9" t="str">
        <f>HYPERLINK("https%3A%2F%2Fwww.webofscience.com%2Fwos%2Fwoscc%2Ffull-record%2FWOS:000230176000008","View Full Record in Web of Science")</f>
        <v>View Full Record in Web of Science</v>
      </c>
    </row>
    <row r="10" spans="1:72" x14ac:dyDescent="0.15">
      <c r="A10" t="s">
        <v>72</v>
      </c>
      <c r="B10" t="s">
        <v>206</v>
      </c>
      <c r="C10" t="s">
        <v>74</v>
      </c>
      <c r="D10" t="s">
        <v>74</v>
      </c>
      <c r="E10" t="s">
        <v>74</v>
      </c>
      <c r="F10" t="s">
        <v>206</v>
      </c>
      <c r="G10" t="s">
        <v>74</v>
      </c>
      <c r="H10" t="s">
        <v>74</v>
      </c>
      <c r="I10" t="s">
        <v>207</v>
      </c>
      <c r="J10" t="s">
        <v>208</v>
      </c>
      <c r="K10" t="s">
        <v>74</v>
      </c>
      <c r="L10" t="s">
        <v>74</v>
      </c>
      <c r="M10" t="s">
        <v>77</v>
      </c>
      <c r="N10" t="s">
        <v>78</v>
      </c>
      <c r="O10" t="s">
        <v>74</v>
      </c>
      <c r="P10" t="s">
        <v>74</v>
      </c>
      <c r="Q10" t="s">
        <v>74</v>
      </c>
      <c r="R10" t="s">
        <v>74</v>
      </c>
      <c r="S10" t="s">
        <v>74</v>
      </c>
      <c r="T10" t="s">
        <v>74</v>
      </c>
      <c r="U10" t="s">
        <v>74</v>
      </c>
      <c r="V10" t="s">
        <v>209</v>
      </c>
      <c r="W10" t="s">
        <v>74</v>
      </c>
      <c r="X10" t="s">
        <v>74</v>
      </c>
      <c r="Y10" t="s">
        <v>210</v>
      </c>
      <c r="Z10" t="s">
        <v>211</v>
      </c>
      <c r="AA10" t="s">
        <v>74</v>
      </c>
      <c r="AB10" t="s">
        <v>74</v>
      </c>
      <c r="AC10" t="s">
        <v>74</v>
      </c>
      <c r="AD10" t="s">
        <v>74</v>
      </c>
      <c r="AE10" t="s">
        <v>74</v>
      </c>
      <c r="AF10" t="s">
        <v>74</v>
      </c>
      <c r="AG10">
        <v>25</v>
      </c>
      <c r="AH10">
        <v>5</v>
      </c>
      <c r="AI10">
        <v>5</v>
      </c>
      <c r="AJ10">
        <v>0</v>
      </c>
      <c r="AK10">
        <v>5</v>
      </c>
      <c r="AL10" t="s">
        <v>212</v>
      </c>
      <c r="AM10" t="s">
        <v>134</v>
      </c>
      <c r="AN10" t="s">
        <v>213</v>
      </c>
      <c r="AO10" t="s">
        <v>214</v>
      </c>
      <c r="AP10" t="s">
        <v>74</v>
      </c>
      <c r="AQ10" t="s">
        <v>74</v>
      </c>
      <c r="AR10" t="s">
        <v>215</v>
      </c>
      <c r="AS10" t="s">
        <v>216</v>
      </c>
      <c r="AT10" t="s">
        <v>92</v>
      </c>
      <c r="AU10">
        <v>2005</v>
      </c>
      <c r="AV10">
        <v>41</v>
      </c>
      <c r="AW10">
        <v>218</v>
      </c>
      <c r="AX10" t="s">
        <v>74</v>
      </c>
      <c r="AY10" t="s">
        <v>74</v>
      </c>
      <c r="AZ10" t="s">
        <v>74</v>
      </c>
      <c r="BA10" t="s">
        <v>74</v>
      </c>
      <c r="BB10">
        <v>205</v>
      </c>
      <c r="BC10">
        <v>214</v>
      </c>
      <c r="BD10" t="s">
        <v>74</v>
      </c>
      <c r="BE10" t="s">
        <v>217</v>
      </c>
      <c r="BF10" t="str">
        <f>HYPERLINK("http://dx.doi.org/10.1017/S0032247405004420","http://dx.doi.org/10.1017/S0032247405004420")</f>
        <v>http://dx.doi.org/10.1017/S0032247405004420</v>
      </c>
      <c r="BG10" t="s">
        <v>74</v>
      </c>
      <c r="BH10" t="s">
        <v>74</v>
      </c>
      <c r="BI10">
        <v>10</v>
      </c>
      <c r="BJ10" t="s">
        <v>218</v>
      </c>
      <c r="BK10" t="s">
        <v>95</v>
      </c>
      <c r="BL10" t="s">
        <v>219</v>
      </c>
      <c r="BM10" t="s">
        <v>220</v>
      </c>
      <c r="BN10" t="s">
        <v>74</v>
      </c>
      <c r="BO10" t="s">
        <v>74</v>
      </c>
      <c r="BP10" t="s">
        <v>74</v>
      </c>
      <c r="BQ10" t="s">
        <v>74</v>
      </c>
      <c r="BR10" t="s">
        <v>97</v>
      </c>
      <c r="BS10" t="s">
        <v>221</v>
      </c>
      <c r="BT10" t="str">
        <f>HYPERLINK("https%3A%2F%2Fwww.webofscience.com%2Fwos%2Fwoscc%2Ffull-record%2FWOS:000231629600002","View Full Record in Web of Science")</f>
        <v>View Full Record in Web of Science</v>
      </c>
    </row>
    <row r="11" spans="1:72" x14ac:dyDescent="0.15">
      <c r="A11" t="s">
        <v>72</v>
      </c>
      <c r="B11" t="s">
        <v>222</v>
      </c>
      <c r="C11" t="s">
        <v>74</v>
      </c>
      <c r="D11" t="s">
        <v>74</v>
      </c>
      <c r="E11" t="s">
        <v>74</v>
      </c>
      <c r="F11" t="s">
        <v>222</v>
      </c>
      <c r="G11" t="s">
        <v>74</v>
      </c>
      <c r="H11" t="s">
        <v>74</v>
      </c>
      <c r="I11" t="s">
        <v>223</v>
      </c>
      <c r="J11" t="s">
        <v>224</v>
      </c>
      <c r="K11" t="s">
        <v>74</v>
      </c>
      <c r="L11" t="s">
        <v>74</v>
      </c>
      <c r="M11" t="s">
        <v>77</v>
      </c>
      <c r="N11" t="s">
        <v>78</v>
      </c>
      <c r="O11" t="s">
        <v>74</v>
      </c>
      <c r="P11" t="s">
        <v>74</v>
      </c>
      <c r="Q11" t="s">
        <v>74</v>
      </c>
      <c r="R11" t="s">
        <v>74</v>
      </c>
      <c r="S11" t="s">
        <v>74</v>
      </c>
      <c r="T11" t="s">
        <v>225</v>
      </c>
      <c r="U11" t="s">
        <v>226</v>
      </c>
      <c r="V11" t="s">
        <v>227</v>
      </c>
      <c r="W11" t="s">
        <v>228</v>
      </c>
      <c r="X11" t="s">
        <v>229</v>
      </c>
      <c r="Y11" t="s">
        <v>230</v>
      </c>
      <c r="Z11" t="s">
        <v>231</v>
      </c>
      <c r="AA11" t="s">
        <v>232</v>
      </c>
      <c r="AB11" t="s">
        <v>233</v>
      </c>
      <c r="AC11" t="s">
        <v>234</v>
      </c>
      <c r="AD11" t="s">
        <v>235</v>
      </c>
      <c r="AE11" t="s">
        <v>74</v>
      </c>
      <c r="AF11" t="s">
        <v>74</v>
      </c>
      <c r="AG11">
        <v>74</v>
      </c>
      <c r="AH11">
        <v>87</v>
      </c>
      <c r="AI11">
        <v>99</v>
      </c>
      <c r="AJ11">
        <v>0</v>
      </c>
      <c r="AK11">
        <v>39</v>
      </c>
      <c r="AL11" t="s">
        <v>212</v>
      </c>
      <c r="AM11" t="s">
        <v>134</v>
      </c>
      <c r="AN11" t="s">
        <v>236</v>
      </c>
      <c r="AO11" t="s">
        <v>237</v>
      </c>
      <c r="AP11" t="s">
        <v>238</v>
      </c>
      <c r="AQ11" t="s">
        <v>74</v>
      </c>
      <c r="AR11" t="s">
        <v>239</v>
      </c>
      <c r="AS11" t="s">
        <v>240</v>
      </c>
      <c r="AT11" t="s">
        <v>92</v>
      </c>
      <c r="AU11">
        <v>2005</v>
      </c>
      <c r="AV11">
        <v>64</v>
      </c>
      <c r="AW11">
        <v>1</v>
      </c>
      <c r="AX11" t="s">
        <v>74</v>
      </c>
      <c r="AY11" t="s">
        <v>74</v>
      </c>
      <c r="AZ11" t="s">
        <v>74</v>
      </c>
      <c r="BA11" t="s">
        <v>74</v>
      </c>
      <c r="BB11">
        <v>83</v>
      </c>
      <c r="BC11">
        <v>99</v>
      </c>
      <c r="BD11" t="s">
        <v>74</v>
      </c>
      <c r="BE11" t="s">
        <v>241</v>
      </c>
      <c r="BF11" t="str">
        <f>HYPERLINK("http://dx.doi.org/10.1016/j.yqres.2005.04.002","http://dx.doi.org/10.1016/j.yqres.2005.04.002")</f>
        <v>http://dx.doi.org/10.1016/j.yqres.2005.04.002</v>
      </c>
      <c r="BG11" t="s">
        <v>74</v>
      </c>
      <c r="BH11" t="s">
        <v>74</v>
      </c>
      <c r="BI11">
        <v>17</v>
      </c>
      <c r="BJ11" t="s">
        <v>242</v>
      </c>
      <c r="BK11" t="s">
        <v>95</v>
      </c>
      <c r="BL11" t="s">
        <v>243</v>
      </c>
      <c r="BM11" t="s">
        <v>244</v>
      </c>
      <c r="BN11" t="s">
        <v>74</v>
      </c>
      <c r="BO11" t="s">
        <v>74</v>
      </c>
      <c r="BP11" t="s">
        <v>74</v>
      </c>
      <c r="BQ11" t="s">
        <v>74</v>
      </c>
      <c r="BR11" t="s">
        <v>97</v>
      </c>
      <c r="BS11" t="s">
        <v>245</v>
      </c>
      <c r="BT11" t="str">
        <f>HYPERLINK("https%3A%2F%2Fwww.webofscience.com%2Fwos%2Fwoscc%2Ffull-record%2FWOS:000230723100008","View Full Record in Web of Science")</f>
        <v>View Full Record in Web of Science</v>
      </c>
    </row>
    <row r="12" spans="1:72" x14ac:dyDescent="0.15">
      <c r="A12" t="s">
        <v>72</v>
      </c>
      <c r="B12" t="s">
        <v>246</v>
      </c>
      <c r="C12" t="s">
        <v>74</v>
      </c>
      <c r="D12" t="s">
        <v>74</v>
      </c>
      <c r="E12" t="s">
        <v>74</v>
      </c>
      <c r="F12" t="s">
        <v>246</v>
      </c>
      <c r="G12" t="s">
        <v>74</v>
      </c>
      <c r="H12" t="s">
        <v>74</v>
      </c>
      <c r="I12" t="s">
        <v>247</v>
      </c>
      <c r="J12" t="s">
        <v>248</v>
      </c>
      <c r="K12" t="s">
        <v>74</v>
      </c>
      <c r="L12" t="s">
        <v>74</v>
      </c>
      <c r="M12" t="s">
        <v>77</v>
      </c>
      <c r="N12" t="s">
        <v>249</v>
      </c>
      <c r="O12" t="s">
        <v>74</v>
      </c>
      <c r="P12" t="s">
        <v>74</v>
      </c>
      <c r="Q12" t="s">
        <v>74</v>
      </c>
      <c r="R12" t="s">
        <v>74</v>
      </c>
      <c r="S12" t="s">
        <v>74</v>
      </c>
      <c r="T12" t="s">
        <v>74</v>
      </c>
      <c r="U12" t="s">
        <v>250</v>
      </c>
      <c r="V12" t="s">
        <v>74</v>
      </c>
      <c r="W12" t="s">
        <v>251</v>
      </c>
      <c r="X12" t="s">
        <v>252</v>
      </c>
      <c r="Y12" t="s">
        <v>253</v>
      </c>
      <c r="Z12" t="s">
        <v>254</v>
      </c>
      <c r="AA12" t="s">
        <v>74</v>
      </c>
      <c r="AB12" t="s">
        <v>74</v>
      </c>
      <c r="AC12" t="s">
        <v>74</v>
      </c>
      <c r="AD12" t="s">
        <v>74</v>
      </c>
      <c r="AE12" t="s">
        <v>74</v>
      </c>
      <c r="AF12" t="s">
        <v>74</v>
      </c>
      <c r="AG12">
        <v>2</v>
      </c>
      <c r="AH12">
        <v>0</v>
      </c>
      <c r="AI12">
        <v>0</v>
      </c>
      <c r="AJ12">
        <v>0</v>
      </c>
      <c r="AK12">
        <v>0</v>
      </c>
      <c r="AL12" t="s">
        <v>255</v>
      </c>
      <c r="AM12" t="s">
        <v>256</v>
      </c>
      <c r="AN12" t="s">
        <v>257</v>
      </c>
      <c r="AO12" t="s">
        <v>258</v>
      </c>
      <c r="AP12" t="s">
        <v>74</v>
      </c>
      <c r="AQ12" t="s">
        <v>74</v>
      </c>
      <c r="AR12" t="s">
        <v>259</v>
      </c>
      <c r="AS12" t="s">
        <v>260</v>
      </c>
      <c r="AT12" t="s">
        <v>92</v>
      </c>
      <c r="AU12">
        <v>2005</v>
      </c>
      <c r="AV12">
        <v>24</v>
      </c>
      <c r="AW12" t="s">
        <v>261</v>
      </c>
      <c r="AX12" t="s">
        <v>74</v>
      </c>
      <c r="AY12" t="s">
        <v>74</v>
      </c>
      <c r="AZ12" t="s">
        <v>74</v>
      </c>
      <c r="BA12" t="s">
        <v>74</v>
      </c>
      <c r="BB12">
        <v>1331</v>
      </c>
      <c r="BC12">
        <v>1332</v>
      </c>
      <c r="BD12" t="s">
        <v>74</v>
      </c>
      <c r="BE12" t="s">
        <v>262</v>
      </c>
      <c r="BF12" t="str">
        <f>HYPERLINK("http://dx.doi.org/10.1016/j.quascirev.2005.04.001","http://dx.doi.org/10.1016/j.quascirev.2005.04.001")</f>
        <v>http://dx.doi.org/10.1016/j.quascirev.2005.04.001</v>
      </c>
      <c r="BG12" t="s">
        <v>74</v>
      </c>
      <c r="BH12" t="s">
        <v>74</v>
      </c>
      <c r="BI12">
        <v>2</v>
      </c>
      <c r="BJ12" t="s">
        <v>242</v>
      </c>
      <c r="BK12" t="s">
        <v>95</v>
      </c>
      <c r="BL12" t="s">
        <v>243</v>
      </c>
      <c r="BM12" t="s">
        <v>263</v>
      </c>
      <c r="BN12" t="s">
        <v>74</v>
      </c>
      <c r="BO12" t="s">
        <v>74</v>
      </c>
      <c r="BP12" t="s">
        <v>74</v>
      </c>
      <c r="BQ12" t="s">
        <v>74</v>
      </c>
      <c r="BR12" t="s">
        <v>97</v>
      </c>
      <c r="BS12" t="s">
        <v>264</v>
      </c>
      <c r="BT12" t="str">
        <f>HYPERLINK("https%3A%2F%2Fwww.webofscience.com%2Fwos%2Fwoscc%2Ffull-record%2FWOS:000229646700001","View Full Record in Web of Science")</f>
        <v>View Full Record in Web of Science</v>
      </c>
    </row>
    <row r="13" spans="1:72" x14ac:dyDescent="0.15">
      <c r="A13" t="s">
        <v>72</v>
      </c>
      <c r="B13" t="s">
        <v>265</v>
      </c>
      <c r="C13" t="s">
        <v>74</v>
      </c>
      <c r="D13" t="s">
        <v>74</v>
      </c>
      <c r="E13" t="s">
        <v>74</v>
      </c>
      <c r="F13" t="s">
        <v>265</v>
      </c>
      <c r="G13" t="s">
        <v>74</v>
      </c>
      <c r="H13" t="s">
        <v>74</v>
      </c>
      <c r="I13" t="s">
        <v>266</v>
      </c>
      <c r="J13" t="s">
        <v>248</v>
      </c>
      <c r="K13" t="s">
        <v>74</v>
      </c>
      <c r="L13" t="s">
        <v>74</v>
      </c>
      <c r="M13" t="s">
        <v>77</v>
      </c>
      <c r="N13" t="s">
        <v>78</v>
      </c>
      <c r="O13" t="s">
        <v>74</v>
      </c>
      <c r="P13" t="s">
        <v>74</v>
      </c>
      <c r="Q13" t="s">
        <v>74</v>
      </c>
      <c r="R13" t="s">
        <v>74</v>
      </c>
      <c r="S13" t="s">
        <v>74</v>
      </c>
      <c r="T13" t="s">
        <v>74</v>
      </c>
      <c r="U13" t="s">
        <v>267</v>
      </c>
      <c r="V13" t="s">
        <v>268</v>
      </c>
      <c r="W13" t="s">
        <v>269</v>
      </c>
      <c r="X13" t="s">
        <v>270</v>
      </c>
      <c r="Y13" t="s">
        <v>271</v>
      </c>
      <c r="Z13" t="s">
        <v>272</v>
      </c>
      <c r="AA13" t="s">
        <v>273</v>
      </c>
      <c r="AB13" t="s">
        <v>274</v>
      </c>
      <c r="AC13" t="s">
        <v>74</v>
      </c>
      <c r="AD13" t="s">
        <v>74</v>
      </c>
      <c r="AE13" t="s">
        <v>74</v>
      </c>
      <c r="AF13" t="s">
        <v>74</v>
      </c>
      <c r="AG13">
        <v>51</v>
      </c>
      <c r="AH13">
        <v>108</v>
      </c>
      <c r="AI13">
        <v>130</v>
      </c>
      <c r="AJ13">
        <v>0</v>
      </c>
      <c r="AK13">
        <v>44</v>
      </c>
      <c r="AL13" t="s">
        <v>255</v>
      </c>
      <c r="AM13" t="s">
        <v>256</v>
      </c>
      <c r="AN13" t="s">
        <v>257</v>
      </c>
      <c r="AO13" t="s">
        <v>258</v>
      </c>
      <c r="AP13" t="s">
        <v>74</v>
      </c>
      <c r="AQ13" t="s">
        <v>74</v>
      </c>
      <c r="AR13" t="s">
        <v>259</v>
      </c>
      <c r="AS13" t="s">
        <v>260</v>
      </c>
      <c r="AT13" t="s">
        <v>92</v>
      </c>
      <c r="AU13">
        <v>2005</v>
      </c>
      <c r="AV13">
        <v>24</v>
      </c>
      <c r="AW13" t="s">
        <v>261</v>
      </c>
      <c r="AX13" t="s">
        <v>74</v>
      </c>
      <c r="AY13" t="s">
        <v>74</v>
      </c>
      <c r="AZ13" t="s">
        <v>74</v>
      </c>
      <c r="BA13" t="s">
        <v>74</v>
      </c>
      <c r="BB13">
        <v>1333</v>
      </c>
      <c r="BC13">
        <v>1343</v>
      </c>
      <c r="BD13" t="s">
        <v>74</v>
      </c>
      <c r="BE13" t="s">
        <v>275</v>
      </c>
      <c r="BF13" t="str">
        <f>HYPERLINK("http://dx.doi.org/10.1016/j.quascirev.2005.02.002","http://dx.doi.org/10.1016/j.quascirev.2005.02.002")</f>
        <v>http://dx.doi.org/10.1016/j.quascirev.2005.02.002</v>
      </c>
      <c r="BG13" t="s">
        <v>74</v>
      </c>
      <c r="BH13" t="s">
        <v>74</v>
      </c>
      <c r="BI13">
        <v>11</v>
      </c>
      <c r="BJ13" t="s">
        <v>242</v>
      </c>
      <c r="BK13" t="s">
        <v>95</v>
      </c>
      <c r="BL13" t="s">
        <v>243</v>
      </c>
      <c r="BM13" t="s">
        <v>263</v>
      </c>
      <c r="BN13" t="s">
        <v>74</v>
      </c>
      <c r="BO13" t="s">
        <v>74</v>
      </c>
      <c r="BP13" t="s">
        <v>74</v>
      </c>
      <c r="BQ13" t="s">
        <v>74</v>
      </c>
      <c r="BR13" t="s">
        <v>97</v>
      </c>
      <c r="BS13" t="s">
        <v>276</v>
      </c>
      <c r="BT13" t="str">
        <f>HYPERLINK("https%3A%2F%2Fwww.webofscience.com%2Fwos%2Fwoscc%2Ffull-record%2FWOS:000229646700002","View Full Record in Web of Science")</f>
        <v>View Full Record in Web of Science</v>
      </c>
    </row>
    <row r="14" spans="1:72" x14ac:dyDescent="0.15">
      <c r="A14" t="s">
        <v>72</v>
      </c>
      <c r="B14" t="s">
        <v>277</v>
      </c>
      <c r="C14" t="s">
        <v>74</v>
      </c>
      <c r="D14" t="s">
        <v>74</v>
      </c>
      <c r="E14" t="s">
        <v>74</v>
      </c>
      <c r="F14" t="s">
        <v>277</v>
      </c>
      <c r="G14" t="s">
        <v>74</v>
      </c>
      <c r="H14" t="s">
        <v>74</v>
      </c>
      <c r="I14" t="s">
        <v>278</v>
      </c>
      <c r="J14" t="s">
        <v>248</v>
      </c>
      <c r="K14" t="s">
        <v>74</v>
      </c>
      <c r="L14" t="s">
        <v>74</v>
      </c>
      <c r="M14" t="s">
        <v>77</v>
      </c>
      <c r="N14" t="s">
        <v>78</v>
      </c>
      <c r="O14" t="s">
        <v>74</v>
      </c>
      <c r="P14" t="s">
        <v>74</v>
      </c>
      <c r="Q14" t="s">
        <v>74</v>
      </c>
      <c r="R14" t="s">
        <v>74</v>
      </c>
      <c r="S14" t="s">
        <v>74</v>
      </c>
      <c r="T14" t="s">
        <v>74</v>
      </c>
      <c r="U14" t="s">
        <v>279</v>
      </c>
      <c r="V14" t="s">
        <v>280</v>
      </c>
      <c r="W14" t="s">
        <v>281</v>
      </c>
      <c r="X14" t="s">
        <v>282</v>
      </c>
      <c r="Y14" t="s">
        <v>283</v>
      </c>
      <c r="Z14" t="s">
        <v>284</v>
      </c>
      <c r="AA14" t="s">
        <v>74</v>
      </c>
      <c r="AB14" t="s">
        <v>285</v>
      </c>
      <c r="AC14" t="s">
        <v>74</v>
      </c>
      <c r="AD14" t="s">
        <v>74</v>
      </c>
      <c r="AE14" t="s">
        <v>74</v>
      </c>
      <c r="AF14" t="s">
        <v>74</v>
      </c>
      <c r="AG14">
        <v>62</v>
      </c>
      <c r="AH14">
        <v>64</v>
      </c>
      <c r="AI14">
        <v>78</v>
      </c>
      <c r="AJ14">
        <v>1</v>
      </c>
      <c r="AK14">
        <v>16</v>
      </c>
      <c r="AL14" t="s">
        <v>255</v>
      </c>
      <c r="AM14" t="s">
        <v>256</v>
      </c>
      <c r="AN14" t="s">
        <v>257</v>
      </c>
      <c r="AO14" t="s">
        <v>258</v>
      </c>
      <c r="AP14" t="s">
        <v>74</v>
      </c>
      <c r="AQ14" t="s">
        <v>74</v>
      </c>
      <c r="AR14" t="s">
        <v>259</v>
      </c>
      <c r="AS14" t="s">
        <v>260</v>
      </c>
      <c r="AT14" t="s">
        <v>92</v>
      </c>
      <c r="AU14">
        <v>2005</v>
      </c>
      <c r="AV14">
        <v>24</v>
      </c>
      <c r="AW14" t="s">
        <v>261</v>
      </c>
      <c r="AX14" t="s">
        <v>74</v>
      </c>
      <c r="AY14" t="s">
        <v>74</v>
      </c>
      <c r="AZ14" t="s">
        <v>74</v>
      </c>
      <c r="BA14" t="s">
        <v>74</v>
      </c>
      <c r="BB14">
        <v>1499</v>
      </c>
      <c r="BC14">
        <v>1520</v>
      </c>
      <c r="BD14" t="s">
        <v>74</v>
      </c>
      <c r="BE14" t="s">
        <v>286</v>
      </c>
      <c r="BF14" t="str">
        <f>HYPERLINK("http://dx.doi.org/10.1016/j.quascirev.2004.10.017","http://dx.doi.org/10.1016/j.quascirev.2004.10.017")</f>
        <v>http://dx.doi.org/10.1016/j.quascirev.2004.10.017</v>
      </c>
      <c r="BG14" t="s">
        <v>74</v>
      </c>
      <c r="BH14" t="s">
        <v>74</v>
      </c>
      <c r="BI14">
        <v>22</v>
      </c>
      <c r="BJ14" t="s">
        <v>242</v>
      </c>
      <c r="BK14" t="s">
        <v>95</v>
      </c>
      <c r="BL14" t="s">
        <v>243</v>
      </c>
      <c r="BM14" t="s">
        <v>263</v>
      </c>
      <c r="BN14" t="s">
        <v>74</v>
      </c>
      <c r="BO14" t="s">
        <v>74</v>
      </c>
      <c r="BP14" t="s">
        <v>74</v>
      </c>
      <c r="BQ14" t="s">
        <v>74</v>
      </c>
      <c r="BR14" t="s">
        <v>97</v>
      </c>
      <c r="BS14" t="s">
        <v>287</v>
      </c>
      <c r="BT14" t="str">
        <f>HYPERLINK("https%3A%2F%2Fwww.webofscience.com%2Fwos%2Fwoscc%2Ffull-record%2FWOS:000229646700011","View Full Record in Web of Science")</f>
        <v>View Full Record in Web of Science</v>
      </c>
    </row>
    <row r="15" spans="1:72" x14ac:dyDescent="0.15">
      <c r="A15" t="s">
        <v>72</v>
      </c>
      <c r="B15" t="s">
        <v>288</v>
      </c>
      <c r="C15" t="s">
        <v>74</v>
      </c>
      <c r="D15" t="s">
        <v>74</v>
      </c>
      <c r="E15" t="s">
        <v>74</v>
      </c>
      <c r="F15" t="s">
        <v>288</v>
      </c>
      <c r="G15" t="s">
        <v>74</v>
      </c>
      <c r="H15" t="s">
        <v>74</v>
      </c>
      <c r="I15" t="s">
        <v>289</v>
      </c>
      <c r="J15" t="s">
        <v>290</v>
      </c>
      <c r="K15" t="s">
        <v>74</v>
      </c>
      <c r="L15" t="s">
        <v>74</v>
      </c>
      <c r="M15" t="s">
        <v>291</v>
      </c>
      <c r="N15" t="s">
        <v>78</v>
      </c>
      <c r="O15" t="s">
        <v>74</v>
      </c>
      <c r="P15" t="s">
        <v>74</v>
      </c>
      <c r="Q15" t="s">
        <v>74</v>
      </c>
      <c r="R15" t="s">
        <v>74</v>
      </c>
      <c r="S15" t="s">
        <v>74</v>
      </c>
      <c r="T15" t="s">
        <v>292</v>
      </c>
      <c r="U15" t="s">
        <v>293</v>
      </c>
      <c r="V15" t="s">
        <v>294</v>
      </c>
      <c r="W15" t="s">
        <v>295</v>
      </c>
      <c r="X15" t="s">
        <v>296</v>
      </c>
      <c r="Y15" t="s">
        <v>297</v>
      </c>
      <c r="Z15" t="s">
        <v>298</v>
      </c>
      <c r="AA15" t="s">
        <v>299</v>
      </c>
      <c r="AB15" t="s">
        <v>300</v>
      </c>
      <c r="AC15" t="s">
        <v>74</v>
      </c>
      <c r="AD15" t="s">
        <v>74</v>
      </c>
      <c r="AE15" t="s">
        <v>74</v>
      </c>
      <c r="AF15" t="s">
        <v>74</v>
      </c>
      <c r="AG15">
        <v>70</v>
      </c>
      <c r="AH15">
        <v>71</v>
      </c>
      <c r="AI15">
        <v>75</v>
      </c>
      <c r="AJ15">
        <v>0</v>
      </c>
      <c r="AK15">
        <v>11</v>
      </c>
      <c r="AL15" t="s">
        <v>301</v>
      </c>
      <c r="AM15" t="s">
        <v>302</v>
      </c>
      <c r="AN15" t="s">
        <v>303</v>
      </c>
      <c r="AO15" t="s">
        <v>304</v>
      </c>
      <c r="AP15" t="s">
        <v>74</v>
      </c>
      <c r="AQ15" t="s">
        <v>74</v>
      </c>
      <c r="AR15" t="s">
        <v>305</v>
      </c>
      <c r="AS15" t="s">
        <v>306</v>
      </c>
      <c r="AT15" t="s">
        <v>92</v>
      </c>
      <c r="AU15">
        <v>2005</v>
      </c>
      <c r="AV15">
        <v>32</v>
      </c>
      <c r="AW15">
        <v>1</v>
      </c>
      <c r="AX15" t="s">
        <v>74</v>
      </c>
      <c r="AY15" t="s">
        <v>74</v>
      </c>
      <c r="AZ15" t="s">
        <v>74</v>
      </c>
      <c r="BA15" t="s">
        <v>74</v>
      </c>
      <c r="BB15">
        <v>95</v>
      </c>
      <c r="BC15">
        <v>115</v>
      </c>
      <c r="BD15" t="s">
        <v>74</v>
      </c>
      <c r="BE15" t="s">
        <v>74</v>
      </c>
      <c r="BF15" t="s">
        <v>74</v>
      </c>
      <c r="BG15" t="s">
        <v>74</v>
      </c>
      <c r="BH15" t="s">
        <v>74</v>
      </c>
      <c r="BI15">
        <v>21</v>
      </c>
      <c r="BJ15" t="s">
        <v>307</v>
      </c>
      <c r="BK15" t="s">
        <v>95</v>
      </c>
      <c r="BL15" t="s">
        <v>307</v>
      </c>
      <c r="BM15" t="s">
        <v>308</v>
      </c>
      <c r="BN15" t="s">
        <v>74</v>
      </c>
      <c r="BO15" t="s">
        <v>74</v>
      </c>
      <c r="BP15" t="s">
        <v>74</v>
      </c>
      <c r="BQ15" t="s">
        <v>74</v>
      </c>
      <c r="BR15" t="s">
        <v>97</v>
      </c>
      <c r="BS15" t="s">
        <v>309</v>
      </c>
      <c r="BT15" t="str">
        <f>HYPERLINK("https%3A%2F%2Fwww.webofscience.com%2Fwos%2Fwoscc%2Ffull-record%2FWOS:000226710300006","View Full Record in Web of Science")</f>
        <v>View Full Record in Web of Science</v>
      </c>
    </row>
    <row r="16" spans="1:72" x14ac:dyDescent="0.15">
      <c r="A16" t="s">
        <v>72</v>
      </c>
      <c r="B16" t="s">
        <v>310</v>
      </c>
      <c r="C16" t="s">
        <v>74</v>
      </c>
      <c r="D16" t="s">
        <v>74</v>
      </c>
      <c r="E16" t="s">
        <v>74</v>
      </c>
      <c r="F16" t="s">
        <v>310</v>
      </c>
      <c r="G16" t="s">
        <v>74</v>
      </c>
      <c r="H16" t="s">
        <v>74</v>
      </c>
      <c r="I16" t="s">
        <v>311</v>
      </c>
      <c r="J16" t="s">
        <v>290</v>
      </c>
      <c r="K16" t="s">
        <v>74</v>
      </c>
      <c r="L16" t="s">
        <v>74</v>
      </c>
      <c r="M16" t="s">
        <v>77</v>
      </c>
      <c r="N16" t="s">
        <v>78</v>
      </c>
      <c r="O16" t="s">
        <v>74</v>
      </c>
      <c r="P16" t="s">
        <v>74</v>
      </c>
      <c r="Q16" t="s">
        <v>74</v>
      </c>
      <c r="R16" t="s">
        <v>74</v>
      </c>
      <c r="S16" t="s">
        <v>74</v>
      </c>
      <c r="T16" t="s">
        <v>312</v>
      </c>
      <c r="U16" t="s">
        <v>313</v>
      </c>
      <c r="V16" t="s">
        <v>314</v>
      </c>
      <c r="W16" t="s">
        <v>315</v>
      </c>
      <c r="X16" t="s">
        <v>74</v>
      </c>
      <c r="Y16" t="s">
        <v>316</v>
      </c>
      <c r="Z16" t="s">
        <v>317</v>
      </c>
      <c r="AA16" t="s">
        <v>318</v>
      </c>
      <c r="AB16" t="s">
        <v>319</v>
      </c>
      <c r="AC16" t="s">
        <v>74</v>
      </c>
      <c r="AD16" t="s">
        <v>74</v>
      </c>
      <c r="AE16" t="s">
        <v>74</v>
      </c>
      <c r="AF16" t="s">
        <v>74</v>
      </c>
      <c r="AG16">
        <v>39</v>
      </c>
      <c r="AH16">
        <v>21</v>
      </c>
      <c r="AI16">
        <v>24</v>
      </c>
      <c r="AJ16">
        <v>0</v>
      </c>
      <c r="AK16">
        <v>4</v>
      </c>
      <c r="AL16" t="s">
        <v>301</v>
      </c>
      <c r="AM16" t="s">
        <v>302</v>
      </c>
      <c r="AN16" t="s">
        <v>303</v>
      </c>
      <c r="AO16" t="s">
        <v>304</v>
      </c>
      <c r="AP16" t="s">
        <v>74</v>
      </c>
      <c r="AQ16" t="s">
        <v>74</v>
      </c>
      <c r="AR16" t="s">
        <v>305</v>
      </c>
      <c r="AS16" t="s">
        <v>306</v>
      </c>
      <c r="AT16" t="s">
        <v>92</v>
      </c>
      <c r="AU16">
        <v>2005</v>
      </c>
      <c r="AV16">
        <v>32</v>
      </c>
      <c r="AW16">
        <v>2</v>
      </c>
      <c r="AX16" t="s">
        <v>74</v>
      </c>
      <c r="AY16" t="s">
        <v>74</v>
      </c>
      <c r="AZ16" t="s">
        <v>74</v>
      </c>
      <c r="BA16" t="s">
        <v>74</v>
      </c>
      <c r="BB16">
        <v>293</v>
      </c>
      <c r="BC16">
        <v>311</v>
      </c>
      <c r="BD16" t="s">
        <v>74</v>
      </c>
      <c r="BE16" t="s">
        <v>74</v>
      </c>
      <c r="BF16" t="s">
        <v>74</v>
      </c>
      <c r="BG16" t="s">
        <v>74</v>
      </c>
      <c r="BH16" t="s">
        <v>74</v>
      </c>
      <c r="BI16">
        <v>19</v>
      </c>
      <c r="BJ16" t="s">
        <v>307</v>
      </c>
      <c r="BK16" t="s">
        <v>95</v>
      </c>
      <c r="BL16" t="s">
        <v>307</v>
      </c>
      <c r="BM16" t="s">
        <v>320</v>
      </c>
      <c r="BN16" t="s">
        <v>74</v>
      </c>
      <c r="BO16" t="s">
        <v>74</v>
      </c>
      <c r="BP16" t="s">
        <v>74</v>
      </c>
      <c r="BQ16" t="s">
        <v>74</v>
      </c>
      <c r="BR16" t="s">
        <v>97</v>
      </c>
      <c r="BS16" t="s">
        <v>321</v>
      </c>
      <c r="BT16" t="str">
        <f>HYPERLINK("https%3A%2F%2Fwww.webofscience.com%2Fwos%2Fwoscc%2Ffull-record%2FWOS:000230914000007","View Full Record in Web of Science")</f>
        <v>View Full Record in Web of Science</v>
      </c>
    </row>
    <row r="17" spans="1:72" x14ac:dyDescent="0.15">
      <c r="A17" t="s">
        <v>72</v>
      </c>
      <c r="B17" t="s">
        <v>322</v>
      </c>
      <c r="C17" t="s">
        <v>74</v>
      </c>
      <c r="D17" t="s">
        <v>74</v>
      </c>
      <c r="E17" t="s">
        <v>74</v>
      </c>
      <c r="F17" t="s">
        <v>322</v>
      </c>
      <c r="G17" t="s">
        <v>74</v>
      </c>
      <c r="H17" t="s">
        <v>74</v>
      </c>
      <c r="I17" t="s">
        <v>323</v>
      </c>
      <c r="J17" t="s">
        <v>324</v>
      </c>
      <c r="K17" t="s">
        <v>74</v>
      </c>
      <c r="L17" t="s">
        <v>74</v>
      </c>
      <c r="M17" t="s">
        <v>77</v>
      </c>
      <c r="N17" t="s">
        <v>78</v>
      </c>
      <c r="O17" t="s">
        <v>74</v>
      </c>
      <c r="P17" t="s">
        <v>74</v>
      </c>
      <c r="Q17" t="s">
        <v>74</v>
      </c>
      <c r="R17" t="s">
        <v>74</v>
      </c>
      <c r="S17" t="s">
        <v>74</v>
      </c>
      <c r="T17" t="s">
        <v>325</v>
      </c>
      <c r="U17" t="s">
        <v>326</v>
      </c>
      <c r="V17" t="s">
        <v>327</v>
      </c>
      <c r="W17" t="s">
        <v>328</v>
      </c>
      <c r="X17" t="s">
        <v>329</v>
      </c>
      <c r="Y17" t="s">
        <v>330</v>
      </c>
      <c r="Z17" t="s">
        <v>331</v>
      </c>
      <c r="AA17" t="s">
        <v>74</v>
      </c>
      <c r="AB17" t="s">
        <v>332</v>
      </c>
      <c r="AC17" t="s">
        <v>74</v>
      </c>
      <c r="AD17" t="s">
        <v>74</v>
      </c>
      <c r="AE17" t="s">
        <v>74</v>
      </c>
      <c r="AF17" t="s">
        <v>74</v>
      </c>
      <c r="AG17">
        <v>56</v>
      </c>
      <c r="AH17">
        <v>25</v>
      </c>
      <c r="AI17">
        <v>31</v>
      </c>
      <c r="AJ17">
        <v>0</v>
      </c>
      <c r="AK17">
        <v>17</v>
      </c>
      <c r="AL17" t="s">
        <v>333</v>
      </c>
      <c r="AM17" t="s">
        <v>256</v>
      </c>
      <c r="AN17" t="s">
        <v>334</v>
      </c>
      <c r="AO17" t="s">
        <v>335</v>
      </c>
      <c r="AP17" t="s">
        <v>74</v>
      </c>
      <c r="AQ17" t="s">
        <v>74</v>
      </c>
      <c r="AR17" t="s">
        <v>336</v>
      </c>
      <c r="AS17" t="s">
        <v>337</v>
      </c>
      <c r="AT17" t="s">
        <v>92</v>
      </c>
      <c r="AU17">
        <v>2005</v>
      </c>
      <c r="AV17">
        <v>46</v>
      </c>
      <c r="AW17">
        <v>3</v>
      </c>
      <c r="AX17" t="s">
        <v>74</v>
      </c>
      <c r="AY17" t="s">
        <v>74</v>
      </c>
      <c r="AZ17" t="s">
        <v>74</v>
      </c>
      <c r="BA17" t="s">
        <v>74</v>
      </c>
      <c r="BB17">
        <v>239</v>
      </c>
      <c r="BC17">
        <v>246</v>
      </c>
      <c r="BD17" t="s">
        <v>74</v>
      </c>
      <c r="BE17" t="s">
        <v>338</v>
      </c>
      <c r="BF17" t="str">
        <f>HYPERLINK("http://dx.doi.org/10.1111/j.1467-9450.2005.00453.x","http://dx.doi.org/10.1111/j.1467-9450.2005.00453.x")</f>
        <v>http://dx.doi.org/10.1111/j.1467-9450.2005.00453.x</v>
      </c>
      <c r="BG17" t="s">
        <v>74</v>
      </c>
      <c r="BH17" t="s">
        <v>74</v>
      </c>
      <c r="BI17">
        <v>8</v>
      </c>
      <c r="BJ17" t="s">
        <v>339</v>
      </c>
      <c r="BK17" t="s">
        <v>340</v>
      </c>
      <c r="BL17" t="s">
        <v>341</v>
      </c>
      <c r="BM17" t="s">
        <v>342</v>
      </c>
      <c r="BN17">
        <v>15842414</v>
      </c>
      <c r="BO17" t="s">
        <v>74</v>
      </c>
      <c r="BP17" t="s">
        <v>74</v>
      </c>
      <c r="BQ17" t="s">
        <v>74</v>
      </c>
      <c r="BR17" t="s">
        <v>97</v>
      </c>
      <c r="BS17" t="s">
        <v>343</v>
      </c>
      <c r="BT17" t="str">
        <f>HYPERLINK("https%3A%2F%2Fwww.webofscience.com%2Fwos%2Fwoscc%2Ffull-record%2FWOS:000228361800003","View Full Record in Web of Science")</f>
        <v>View Full Record in Web of Science</v>
      </c>
    </row>
    <row r="18" spans="1:72" x14ac:dyDescent="0.15">
      <c r="A18" t="s">
        <v>72</v>
      </c>
      <c r="B18" t="s">
        <v>344</v>
      </c>
      <c r="C18" t="s">
        <v>74</v>
      </c>
      <c r="D18" t="s">
        <v>74</v>
      </c>
      <c r="E18" t="s">
        <v>74</v>
      </c>
      <c r="F18" t="s">
        <v>344</v>
      </c>
      <c r="G18" t="s">
        <v>74</v>
      </c>
      <c r="H18" t="s">
        <v>74</v>
      </c>
      <c r="I18" t="s">
        <v>345</v>
      </c>
      <c r="J18" t="s">
        <v>346</v>
      </c>
      <c r="K18" t="s">
        <v>74</v>
      </c>
      <c r="L18" t="s">
        <v>74</v>
      </c>
      <c r="M18" t="s">
        <v>77</v>
      </c>
      <c r="N18" t="s">
        <v>78</v>
      </c>
      <c r="O18" t="s">
        <v>74</v>
      </c>
      <c r="P18" t="s">
        <v>74</v>
      </c>
      <c r="Q18" t="s">
        <v>74</v>
      </c>
      <c r="R18" t="s">
        <v>74</v>
      </c>
      <c r="S18" t="s">
        <v>74</v>
      </c>
      <c r="T18" t="s">
        <v>74</v>
      </c>
      <c r="U18" t="s">
        <v>74</v>
      </c>
      <c r="V18" t="s">
        <v>347</v>
      </c>
      <c r="W18" t="s">
        <v>348</v>
      </c>
      <c r="X18" t="s">
        <v>349</v>
      </c>
      <c r="Y18" t="s">
        <v>350</v>
      </c>
      <c r="Z18" t="s">
        <v>74</v>
      </c>
      <c r="AA18" t="s">
        <v>351</v>
      </c>
      <c r="AB18" t="s">
        <v>352</v>
      </c>
      <c r="AC18" t="s">
        <v>74</v>
      </c>
      <c r="AD18" t="s">
        <v>74</v>
      </c>
      <c r="AE18" t="s">
        <v>74</v>
      </c>
      <c r="AF18" t="s">
        <v>74</v>
      </c>
      <c r="AG18">
        <v>45</v>
      </c>
      <c r="AH18">
        <v>7</v>
      </c>
      <c r="AI18">
        <v>11</v>
      </c>
      <c r="AJ18">
        <v>0</v>
      </c>
      <c r="AK18">
        <v>1</v>
      </c>
      <c r="AL18" t="s">
        <v>346</v>
      </c>
      <c r="AM18" t="s">
        <v>353</v>
      </c>
      <c r="AN18" t="s">
        <v>354</v>
      </c>
      <c r="AO18" t="s">
        <v>355</v>
      </c>
      <c r="AP18" t="s">
        <v>74</v>
      </c>
      <c r="AQ18" t="s">
        <v>74</v>
      </c>
      <c r="AR18" t="s">
        <v>356</v>
      </c>
      <c r="AS18" t="s">
        <v>357</v>
      </c>
      <c r="AT18" t="s">
        <v>92</v>
      </c>
      <c r="AU18">
        <v>2005</v>
      </c>
      <c r="AV18">
        <v>32</v>
      </c>
      <c r="AW18" t="s">
        <v>74</v>
      </c>
      <c r="AX18">
        <v>2</v>
      </c>
      <c r="AY18" t="s">
        <v>74</v>
      </c>
      <c r="AZ18" t="s">
        <v>74</v>
      </c>
      <c r="BA18" t="s">
        <v>74</v>
      </c>
      <c r="BB18">
        <v>225</v>
      </c>
      <c r="BC18">
        <v>239</v>
      </c>
      <c r="BD18" t="s">
        <v>74</v>
      </c>
      <c r="BE18" t="s">
        <v>74</v>
      </c>
      <c r="BF18" t="s">
        <v>74</v>
      </c>
      <c r="BG18" t="s">
        <v>74</v>
      </c>
      <c r="BH18" t="s">
        <v>74</v>
      </c>
      <c r="BI18">
        <v>15</v>
      </c>
      <c r="BJ18" t="s">
        <v>358</v>
      </c>
      <c r="BK18" t="s">
        <v>359</v>
      </c>
      <c r="BL18" t="s">
        <v>358</v>
      </c>
      <c r="BM18" t="s">
        <v>360</v>
      </c>
      <c r="BN18" t="s">
        <v>74</v>
      </c>
      <c r="BO18" t="s">
        <v>74</v>
      </c>
      <c r="BP18" t="s">
        <v>74</v>
      </c>
      <c r="BQ18" t="s">
        <v>74</v>
      </c>
      <c r="BR18" t="s">
        <v>97</v>
      </c>
      <c r="BS18" t="s">
        <v>361</v>
      </c>
      <c r="BT18" t="str">
        <f>HYPERLINK("https%3A%2F%2Fwww.webofscience.com%2Fwos%2Fwoscc%2Ffull-record%2FWOS:000230617000001","View Full Record in Web of Science")</f>
        <v>View Full Record in Web of Science</v>
      </c>
    </row>
    <row r="19" spans="1:72" x14ac:dyDescent="0.15">
      <c r="A19" t="s">
        <v>72</v>
      </c>
      <c r="B19" t="s">
        <v>362</v>
      </c>
      <c r="C19" t="s">
        <v>74</v>
      </c>
      <c r="D19" t="s">
        <v>74</v>
      </c>
      <c r="E19" t="s">
        <v>74</v>
      </c>
      <c r="F19" t="s">
        <v>362</v>
      </c>
      <c r="G19" t="s">
        <v>74</v>
      </c>
      <c r="H19" t="s">
        <v>74</v>
      </c>
      <c r="I19" t="s">
        <v>363</v>
      </c>
      <c r="J19" t="s">
        <v>364</v>
      </c>
      <c r="K19" t="s">
        <v>74</v>
      </c>
      <c r="L19" t="s">
        <v>74</v>
      </c>
      <c r="M19" t="s">
        <v>77</v>
      </c>
      <c r="N19" t="s">
        <v>365</v>
      </c>
      <c r="O19" t="s">
        <v>74</v>
      </c>
      <c r="P19" t="s">
        <v>74</v>
      </c>
      <c r="Q19" t="s">
        <v>74</v>
      </c>
      <c r="R19" t="s">
        <v>74</v>
      </c>
      <c r="S19" t="s">
        <v>74</v>
      </c>
      <c r="T19" t="s">
        <v>74</v>
      </c>
      <c r="U19" t="s">
        <v>366</v>
      </c>
      <c r="V19" t="s">
        <v>367</v>
      </c>
      <c r="W19" t="s">
        <v>368</v>
      </c>
      <c r="X19" t="s">
        <v>369</v>
      </c>
      <c r="Y19" t="s">
        <v>370</v>
      </c>
      <c r="Z19" t="s">
        <v>371</v>
      </c>
      <c r="AA19" t="s">
        <v>372</v>
      </c>
      <c r="AB19" t="s">
        <v>373</v>
      </c>
      <c r="AC19" t="s">
        <v>74</v>
      </c>
      <c r="AD19" t="s">
        <v>74</v>
      </c>
      <c r="AE19" t="s">
        <v>74</v>
      </c>
      <c r="AF19" t="s">
        <v>74</v>
      </c>
      <c r="AG19">
        <v>99</v>
      </c>
      <c r="AH19">
        <v>53</v>
      </c>
      <c r="AI19">
        <v>56</v>
      </c>
      <c r="AJ19">
        <v>1</v>
      </c>
      <c r="AK19">
        <v>19</v>
      </c>
      <c r="AL19" t="s">
        <v>133</v>
      </c>
      <c r="AM19" t="s">
        <v>374</v>
      </c>
      <c r="AN19" t="s">
        <v>375</v>
      </c>
      <c r="AO19" t="s">
        <v>376</v>
      </c>
      <c r="AP19" t="s">
        <v>377</v>
      </c>
      <c r="AQ19" t="s">
        <v>74</v>
      </c>
      <c r="AR19" t="s">
        <v>378</v>
      </c>
      <c r="AS19" t="s">
        <v>379</v>
      </c>
      <c r="AT19" t="s">
        <v>92</v>
      </c>
      <c r="AU19">
        <v>2005</v>
      </c>
      <c r="AV19">
        <v>26</v>
      </c>
      <c r="AW19">
        <v>4</v>
      </c>
      <c r="AX19" t="s">
        <v>74</v>
      </c>
      <c r="AY19" t="s">
        <v>74</v>
      </c>
      <c r="AZ19" t="s">
        <v>74</v>
      </c>
      <c r="BA19" t="s">
        <v>74</v>
      </c>
      <c r="BB19">
        <v>415</v>
      </c>
      <c r="BC19">
        <v>459</v>
      </c>
      <c r="BD19" t="s">
        <v>74</v>
      </c>
      <c r="BE19" t="s">
        <v>380</v>
      </c>
      <c r="BF19" t="str">
        <f>HYPERLINK("http://dx.doi.org/10.1007/s10712-005-3857-x","http://dx.doi.org/10.1007/s10712-005-3857-x")</f>
        <v>http://dx.doi.org/10.1007/s10712-005-3857-x</v>
      </c>
      <c r="BG19" t="s">
        <v>74</v>
      </c>
      <c r="BH19" t="s">
        <v>74</v>
      </c>
      <c r="BI19">
        <v>45</v>
      </c>
      <c r="BJ19" t="s">
        <v>381</v>
      </c>
      <c r="BK19" t="s">
        <v>95</v>
      </c>
      <c r="BL19" t="s">
        <v>381</v>
      </c>
      <c r="BM19" t="s">
        <v>382</v>
      </c>
      <c r="BN19" t="s">
        <v>74</v>
      </c>
      <c r="BO19" t="s">
        <v>74</v>
      </c>
      <c r="BP19" t="s">
        <v>74</v>
      </c>
      <c r="BQ19" t="s">
        <v>74</v>
      </c>
      <c r="BR19" t="s">
        <v>97</v>
      </c>
      <c r="BS19" t="s">
        <v>383</v>
      </c>
      <c r="BT19" t="str">
        <f>HYPERLINK("https%3A%2F%2Fwww.webofscience.com%2Fwos%2Fwoscc%2Ffull-record%2FWOS:000233247500001","View Full Record in Web of Science")</f>
        <v>View Full Record in Web of Science</v>
      </c>
    </row>
    <row r="20" spans="1:72" x14ac:dyDescent="0.15">
      <c r="A20" t="s">
        <v>72</v>
      </c>
      <c r="B20" t="s">
        <v>384</v>
      </c>
      <c r="C20" t="s">
        <v>74</v>
      </c>
      <c r="D20" t="s">
        <v>74</v>
      </c>
      <c r="E20" t="s">
        <v>74</v>
      </c>
      <c r="F20" t="s">
        <v>384</v>
      </c>
      <c r="G20" t="s">
        <v>74</v>
      </c>
      <c r="H20" t="s">
        <v>74</v>
      </c>
      <c r="I20" t="s">
        <v>385</v>
      </c>
      <c r="J20" t="s">
        <v>386</v>
      </c>
      <c r="K20" t="s">
        <v>74</v>
      </c>
      <c r="L20" t="s">
        <v>74</v>
      </c>
      <c r="M20" t="s">
        <v>77</v>
      </c>
      <c r="N20" t="s">
        <v>78</v>
      </c>
      <c r="O20" t="s">
        <v>74</v>
      </c>
      <c r="P20" t="s">
        <v>74</v>
      </c>
      <c r="Q20" t="s">
        <v>74</v>
      </c>
      <c r="R20" t="s">
        <v>74</v>
      </c>
      <c r="S20" t="s">
        <v>74</v>
      </c>
      <c r="T20" t="s">
        <v>74</v>
      </c>
      <c r="U20" t="s">
        <v>387</v>
      </c>
      <c r="V20" t="s">
        <v>388</v>
      </c>
      <c r="W20" t="s">
        <v>389</v>
      </c>
      <c r="X20" t="s">
        <v>390</v>
      </c>
      <c r="Y20" t="s">
        <v>74</v>
      </c>
      <c r="Z20" t="s">
        <v>391</v>
      </c>
      <c r="AA20" t="s">
        <v>392</v>
      </c>
      <c r="AB20" t="s">
        <v>393</v>
      </c>
      <c r="AC20" t="s">
        <v>74</v>
      </c>
      <c r="AD20" t="s">
        <v>74</v>
      </c>
      <c r="AE20" t="s">
        <v>74</v>
      </c>
      <c r="AF20" t="s">
        <v>74</v>
      </c>
      <c r="AG20">
        <v>59</v>
      </c>
      <c r="AH20">
        <v>33</v>
      </c>
      <c r="AI20">
        <v>44</v>
      </c>
      <c r="AJ20">
        <v>0</v>
      </c>
      <c r="AK20">
        <v>30</v>
      </c>
      <c r="AL20" t="s">
        <v>394</v>
      </c>
      <c r="AM20" t="s">
        <v>395</v>
      </c>
      <c r="AN20" t="s">
        <v>396</v>
      </c>
      <c r="AO20" t="s">
        <v>397</v>
      </c>
      <c r="AP20" t="s">
        <v>74</v>
      </c>
      <c r="AQ20" t="s">
        <v>74</v>
      </c>
      <c r="AR20" t="s">
        <v>398</v>
      </c>
      <c r="AS20" t="s">
        <v>399</v>
      </c>
      <c r="AT20" t="s">
        <v>92</v>
      </c>
      <c r="AU20">
        <v>2005</v>
      </c>
      <c r="AV20">
        <v>57</v>
      </c>
      <c r="AW20">
        <v>3</v>
      </c>
      <c r="AX20" t="s">
        <v>74</v>
      </c>
      <c r="AY20" t="s">
        <v>74</v>
      </c>
      <c r="AZ20" t="s">
        <v>74</v>
      </c>
      <c r="BA20" t="s">
        <v>74</v>
      </c>
      <c r="BB20">
        <v>230</v>
      </c>
      <c r="BC20">
        <v>246</v>
      </c>
      <c r="BD20" t="s">
        <v>74</v>
      </c>
      <c r="BE20" t="s">
        <v>400</v>
      </c>
      <c r="BF20" t="str">
        <f>HYPERLINK("http://dx.doi.org/10.1111/j.1600-0889.2005.00142.x","http://dx.doi.org/10.1111/j.1600-0889.2005.00142.x")</f>
        <v>http://dx.doi.org/10.1111/j.1600-0889.2005.00142.x</v>
      </c>
      <c r="BG20" t="s">
        <v>74</v>
      </c>
      <c r="BH20" t="s">
        <v>74</v>
      </c>
      <c r="BI20">
        <v>17</v>
      </c>
      <c r="BJ20" t="s">
        <v>401</v>
      </c>
      <c r="BK20" t="s">
        <v>95</v>
      </c>
      <c r="BL20" t="s">
        <v>401</v>
      </c>
      <c r="BM20" t="s">
        <v>402</v>
      </c>
      <c r="BN20" t="s">
        <v>74</v>
      </c>
      <c r="BO20" t="s">
        <v>74</v>
      </c>
      <c r="BP20" t="s">
        <v>74</v>
      </c>
      <c r="BQ20" t="s">
        <v>74</v>
      </c>
      <c r="BR20" t="s">
        <v>97</v>
      </c>
      <c r="BS20" t="s">
        <v>403</v>
      </c>
      <c r="BT20" t="str">
        <f>HYPERLINK("https%3A%2F%2Fwww.webofscience.com%2Fwos%2Fwoscc%2Ffull-record%2FWOS:000229961800006","View Full Record in Web of Science")</f>
        <v>View Full Record in Web of Science</v>
      </c>
    </row>
    <row r="21" spans="1:72" x14ac:dyDescent="0.15">
      <c r="A21" t="s">
        <v>72</v>
      </c>
      <c r="B21" t="s">
        <v>404</v>
      </c>
      <c r="C21" t="s">
        <v>74</v>
      </c>
      <c r="D21" t="s">
        <v>74</v>
      </c>
      <c r="E21" t="s">
        <v>74</v>
      </c>
      <c r="F21" t="s">
        <v>404</v>
      </c>
      <c r="G21" t="s">
        <v>74</v>
      </c>
      <c r="H21" t="s">
        <v>74</v>
      </c>
      <c r="I21" t="s">
        <v>405</v>
      </c>
      <c r="J21" t="s">
        <v>406</v>
      </c>
      <c r="K21" t="s">
        <v>74</v>
      </c>
      <c r="L21" t="s">
        <v>74</v>
      </c>
      <c r="M21" t="s">
        <v>291</v>
      </c>
      <c r="N21" t="s">
        <v>78</v>
      </c>
      <c r="O21" t="s">
        <v>74</v>
      </c>
      <c r="P21" t="s">
        <v>74</v>
      </c>
      <c r="Q21" t="s">
        <v>74</v>
      </c>
      <c r="R21" t="s">
        <v>74</v>
      </c>
      <c r="S21" t="s">
        <v>74</v>
      </c>
      <c r="T21" t="s">
        <v>407</v>
      </c>
      <c r="U21" t="s">
        <v>408</v>
      </c>
      <c r="V21" t="s">
        <v>409</v>
      </c>
      <c r="W21" t="s">
        <v>410</v>
      </c>
      <c r="X21" t="s">
        <v>411</v>
      </c>
      <c r="Y21" t="s">
        <v>412</v>
      </c>
      <c r="Z21" t="s">
        <v>413</v>
      </c>
      <c r="AA21" t="s">
        <v>74</v>
      </c>
      <c r="AB21" t="s">
        <v>74</v>
      </c>
      <c r="AC21" t="s">
        <v>74</v>
      </c>
      <c r="AD21" t="s">
        <v>74</v>
      </c>
      <c r="AE21" t="s">
        <v>74</v>
      </c>
      <c r="AF21" t="s">
        <v>74</v>
      </c>
      <c r="AG21">
        <v>88</v>
      </c>
      <c r="AH21">
        <v>12</v>
      </c>
      <c r="AI21">
        <v>13</v>
      </c>
      <c r="AJ21">
        <v>0</v>
      </c>
      <c r="AK21">
        <v>0</v>
      </c>
      <c r="AL21" t="s">
        <v>414</v>
      </c>
      <c r="AM21" t="s">
        <v>415</v>
      </c>
      <c r="AN21" t="s">
        <v>416</v>
      </c>
      <c r="AO21" t="s">
        <v>417</v>
      </c>
      <c r="AP21" t="s">
        <v>74</v>
      </c>
      <c r="AQ21" t="s">
        <v>74</v>
      </c>
      <c r="AR21" t="s">
        <v>406</v>
      </c>
      <c r="AS21" t="s">
        <v>418</v>
      </c>
      <c r="AT21" t="s">
        <v>419</v>
      </c>
      <c r="AU21">
        <v>2005</v>
      </c>
      <c r="AV21">
        <v>42</v>
      </c>
      <c r="AW21">
        <v>2</v>
      </c>
      <c r="AX21" t="s">
        <v>74</v>
      </c>
      <c r="AY21" t="s">
        <v>74</v>
      </c>
      <c r="AZ21" t="s">
        <v>74</v>
      </c>
      <c r="BA21" t="s">
        <v>74</v>
      </c>
      <c r="BB21">
        <v>363</v>
      </c>
      <c r="BC21">
        <v>376</v>
      </c>
      <c r="BD21" t="s">
        <v>74</v>
      </c>
      <c r="BE21" t="s">
        <v>74</v>
      </c>
      <c r="BF21" t="s">
        <v>74</v>
      </c>
      <c r="BG21" t="s">
        <v>74</v>
      </c>
      <c r="BH21" t="s">
        <v>74</v>
      </c>
      <c r="BI21">
        <v>14</v>
      </c>
      <c r="BJ21" t="s">
        <v>420</v>
      </c>
      <c r="BK21" t="s">
        <v>95</v>
      </c>
      <c r="BL21" t="s">
        <v>420</v>
      </c>
      <c r="BM21" t="s">
        <v>421</v>
      </c>
      <c r="BN21" t="s">
        <v>74</v>
      </c>
      <c r="BO21" t="s">
        <v>74</v>
      </c>
      <c r="BP21" t="s">
        <v>74</v>
      </c>
      <c r="BQ21" t="s">
        <v>74</v>
      </c>
      <c r="BR21" t="s">
        <v>97</v>
      </c>
      <c r="BS21" t="s">
        <v>422</v>
      </c>
      <c r="BT21" t="str">
        <f>HYPERLINK("https%3A%2F%2Fwww.webofscience.com%2Fwos%2Fwoscc%2Ffull-record%2FWOS:000231479100008","View Full Record in Web of Science")</f>
        <v>View Full Record in Web of Science</v>
      </c>
    </row>
    <row r="22" spans="1:72" x14ac:dyDescent="0.15">
      <c r="A22" t="s">
        <v>72</v>
      </c>
      <c r="B22" t="s">
        <v>423</v>
      </c>
      <c r="C22" t="s">
        <v>74</v>
      </c>
      <c r="D22" t="s">
        <v>74</v>
      </c>
      <c r="E22" t="s">
        <v>74</v>
      </c>
      <c r="F22" t="s">
        <v>423</v>
      </c>
      <c r="G22" t="s">
        <v>74</v>
      </c>
      <c r="H22" t="s">
        <v>74</v>
      </c>
      <c r="I22" t="s">
        <v>424</v>
      </c>
      <c r="J22" t="s">
        <v>425</v>
      </c>
      <c r="K22" t="s">
        <v>74</v>
      </c>
      <c r="L22" t="s">
        <v>74</v>
      </c>
      <c r="M22" t="s">
        <v>77</v>
      </c>
      <c r="N22" t="s">
        <v>78</v>
      </c>
      <c r="O22" t="s">
        <v>74</v>
      </c>
      <c r="P22" t="s">
        <v>74</v>
      </c>
      <c r="Q22" t="s">
        <v>74</v>
      </c>
      <c r="R22" t="s">
        <v>74</v>
      </c>
      <c r="S22" t="s">
        <v>74</v>
      </c>
      <c r="T22" t="s">
        <v>426</v>
      </c>
      <c r="U22" t="s">
        <v>427</v>
      </c>
      <c r="V22" t="s">
        <v>428</v>
      </c>
      <c r="W22" t="s">
        <v>429</v>
      </c>
      <c r="X22" t="s">
        <v>430</v>
      </c>
      <c r="Y22" t="s">
        <v>431</v>
      </c>
      <c r="Z22" t="s">
        <v>432</v>
      </c>
      <c r="AA22" t="s">
        <v>433</v>
      </c>
      <c r="AB22" t="s">
        <v>434</v>
      </c>
      <c r="AC22" t="s">
        <v>74</v>
      </c>
      <c r="AD22" t="s">
        <v>74</v>
      </c>
      <c r="AE22" t="s">
        <v>74</v>
      </c>
      <c r="AF22" t="s">
        <v>74</v>
      </c>
      <c r="AG22">
        <v>56</v>
      </c>
      <c r="AH22">
        <v>152</v>
      </c>
      <c r="AI22">
        <v>175</v>
      </c>
      <c r="AJ22">
        <v>2</v>
      </c>
      <c r="AK22">
        <v>32</v>
      </c>
      <c r="AL22" t="s">
        <v>435</v>
      </c>
      <c r="AM22" t="s">
        <v>436</v>
      </c>
      <c r="AN22" t="s">
        <v>437</v>
      </c>
      <c r="AO22" t="s">
        <v>438</v>
      </c>
      <c r="AP22" t="s">
        <v>439</v>
      </c>
      <c r="AQ22" t="s">
        <v>74</v>
      </c>
      <c r="AR22" t="s">
        <v>440</v>
      </c>
      <c r="AS22" t="s">
        <v>441</v>
      </c>
      <c r="AT22" t="s">
        <v>419</v>
      </c>
      <c r="AU22">
        <v>2005</v>
      </c>
      <c r="AV22">
        <v>235</v>
      </c>
      <c r="AW22" t="s">
        <v>442</v>
      </c>
      <c r="AX22" t="s">
        <v>74</v>
      </c>
      <c r="AY22" t="s">
        <v>74</v>
      </c>
      <c r="AZ22" t="s">
        <v>74</v>
      </c>
      <c r="BA22" t="s">
        <v>74</v>
      </c>
      <c r="BB22">
        <v>45</v>
      </c>
      <c r="BC22">
        <v>61</v>
      </c>
      <c r="BD22" t="s">
        <v>74</v>
      </c>
      <c r="BE22" t="s">
        <v>443</v>
      </c>
      <c r="BF22" t="str">
        <f>HYPERLINK("http://dx.doi.org/10.1016/j.epsl.2005.03.003","http://dx.doi.org/10.1016/j.epsl.2005.03.003")</f>
        <v>http://dx.doi.org/10.1016/j.epsl.2005.03.003</v>
      </c>
      <c r="BG22" t="s">
        <v>74</v>
      </c>
      <c r="BH22" t="s">
        <v>74</v>
      </c>
      <c r="BI22">
        <v>17</v>
      </c>
      <c r="BJ22" t="s">
        <v>381</v>
      </c>
      <c r="BK22" t="s">
        <v>95</v>
      </c>
      <c r="BL22" t="s">
        <v>381</v>
      </c>
      <c r="BM22" t="s">
        <v>444</v>
      </c>
      <c r="BN22" t="s">
        <v>74</v>
      </c>
      <c r="BO22" t="s">
        <v>74</v>
      </c>
      <c r="BP22" t="s">
        <v>74</v>
      </c>
      <c r="BQ22" t="s">
        <v>74</v>
      </c>
      <c r="BR22" t="s">
        <v>97</v>
      </c>
      <c r="BS22" t="s">
        <v>445</v>
      </c>
      <c r="BT22" t="str">
        <f>HYPERLINK("https%3A%2F%2Fwww.webofscience.com%2Fwos%2Fwoscc%2Ffull-record%2FWOS:000230582200004","View Full Record in Web of Science")</f>
        <v>View Full Record in Web of Science</v>
      </c>
    </row>
    <row r="23" spans="1:72" x14ac:dyDescent="0.15">
      <c r="A23" t="s">
        <v>72</v>
      </c>
      <c r="B23" t="s">
        <v>446</v>
      </c>
      <c r="C23" t="s">
        <v>74</v>
      </c>
      <c r="D23" t="s">
        <v>74</v>
      </c>
      <c r="E23" t="s">
        <v>74</v>
      </c>
      <c r="F23" t="s">
        <v>446</v>
      </c>
      <c r="G23" t="s">
        <v>74</v>
      </c>
      <c r="H23" t="s">
        <v>74</v>
      </c>
      <c r="I23" t="s">
        <v>447</v>
      </c>
      <c r="J23" t="s">
        <v>425</v>
      </c>
      <c r="K23" t="s">
        <v>74</v>
      </c>
      <c r="L23" t="s">
        <v>74</v>
      </c>
      <c r="M23" t="s">
        <v>77</v>
      </c>
      <c r="N23" t="s">
        <v>78</v>
      </c>
      <c r="O23" t="s">
        <v>74</v>
      </c>
      <c r="P23" t="s">
        <v>74</v>
      </c>
      <c r="Q23" t="s">
        <v>74</v>
      </c>
      <c r="R23" t="s">
        <v>74</v>
      </c>
      <c r="S23" t="s">
        <v>74</v>
      </c>
      <c r="T23" t="s">
        <v>448</v>
      </c>
      <c r="U23" t="s">
        <v>449</v>
      </c>
      <c r="V23" t="s">
        <v>450</v>
      </c>
      <c r="W23" t="s">
        <v>451</v>
      </c>
      <c r="X23" t="s">
        <v>452</v>
      </c>
      <c r="Y23" t="s">
        <v>453</v>
      </c>
      <c r="Z23" t="s">
        <v>454</v>
      </c>
      <c r="AA23" t="s">
        <v>455</v>
      </c>
      <c r="AB23" t="s">
        <v>74</v>
      </c>
      <c r="AC23" t="s">
        <v>74</v>
      </c>
      <c r="AD23" t="s">
        <v>74</v>
      </c>
      <c r="AE23" t="s">
        <v>74</v>
      </c>
      <c r="AF23" t="s">
        <v>74</v>
      </c>
      <c r="AG23">
        <v>49</v>
      </c>
      <c r="AH23">
        <v>12</v>
      </c>
      <c r="AI23">
        <v>13</v>
      </c>
      <c r="AJ23">
        <v>0</v>
      </c>
      <c r="AK23">
        <v>10</v>
      </c>
      <c r="AL23" t="s">
        <v>456</v>
      </c>
      <c r="AM23" t="s">
        <v>436</v>
      </c>
      <c r="AN23" t="s">
        <v>457</v>
      </c>
      <c r="AO23" t="s">
        <v>438</v>
      </c>
      <c r="AP23" t="s">
        <v>439</v>
      </c>
      <c r="AQ23" t="s">
        <v>74</v>
      </c>
      <c r="AR23" t="s">
        <v>440</v>
      </c>
      <c r="AS23" t="s">
        <v>441</v>
      </c>
      <c r="AT23" t="s">
        <v>419</v>
      </c>
      <c r="AU23">
        <v>2005</v>
      </c>
      <c r="AV23">
        <v>235</v>
      </c>
      <c r="AW23" t="s">
        <v>442</v>
      </c>
      <c r="AX23" t="s">
        <v>74</v>
      </c>
      <c r="AY23" t="s">
        <v>74</v>
      </c>
      <c r="AZ23" t="s">
        <v>74</v>
      </c>
      <c r="BA23" t="s">
        <v>74</v>
      </c>
      <c r="BB23">
        <v>183</v>
      </c>
      <c r="BC23">
        <v>199</v>
      </c>
      <c r="BD23" t="s">
        <v>74</v>
      </c>
      <c r="BE23" t="s">
        <v>458</v>
      </c>
      <c r="BF23" t="str">
        <f>HYPERLINK("http://dx.doi.org/10.1016/j.epsl.2005.02.044","http://dx.doi.org/10.1016/j.epsl.2005.02.044")</f>
        <v>http://dx.doi.org/10.1016/j.epsl.2005.02.044</v>
      </c>
      <c r="BG23" t="s">
        <v>74</v>
      </c>
      <c r="BH23" t="s">
        <v>74</v>
      </c>
      <c r="BI23">
        <v>17</v>
      </c>
      <c r="BJ23" t="s">
        <v>381</v>
      </c>
      <c r="BK23" t="s">
        <v>95</v>
      </c>
      <c r="BL23" t="s">
        <v>381</v>
      </c>
      <c r="BM23" t="s">
        <v>444</v>
      </c>
      <c r="BN23" t="s">
        <v>74</v>
      </c>
      <c r="BO23" t="s">
        <v>143</v>
      </c>
      <c r="BP23" t="s">
        <v>74</v>
      </c>
      <c r="BQ23" t="s">
        <v>74</v>
      </c>
      <c r="BR23" t="s">
        <v>97</v>
      </c>
      <c r="BS23" t="s">
        <v>459</v>
      </c>
      <c r="BT23" t="str">
        <f>HYPERLINK("https%3A%2F%2Fwww.webofscience.com%2Fwos%2Fwoscc%2Ffull-record%2FWOS:000230582200013","View Full Record in Web of Science")</f>
        <v>View Full Record in Web of Science</v>
      </c>
    </row>
    <row r="24" spans="1:72" x14ac:dyDescent="0.15">
      <c r="A24" t="s">
        <v>72</v>
      </c>
      <c r="B24" t="s">
        <v>460</v>
      </c>
      <c r="C24" t="s">
        <v>74</v>
      </c>
      <c r="D24" t="s">
        <v>74</v>
      </c>
      <c r="E24" t="s">
        <v>74</v>
      </c>
      <c r="F24" t="s">
        <v>460</v>
      </c>
      <c r="G24" t="s">
        <v>74</v>
      </c>
      <c r="H24" t="s">
        <v>74</v>
      </c>
      <c r="I24" t="s">
        <v>461</v>
      </c>
      <c r="J24" t="s">
        <v>462</v>
      </c>
      <c r="K24" t="s">
        <v>74</v>
      </c>
      <c r="L24" t="s">
        <v>74</v>
      </c>
      <c r="M24" t="s">
        <v>77</v>
      </c>
      <c r="N24" t="s">
        <v>78</v>
      </c>
      <c r="O24" t="s">
        <v>74</v>
      </c>
      <c r="P24" t="s">
        <v>74</v>
      </c>
      <c r="Q24" t="s">
        <v>74</v>
      </c>
      <c r="R24" t="s">
        <v>74</v>
      </c>
      <c r="S24" t="s">
        <v>74</v>
      </c>
      <c r="T24" t="s">
        <v>463</v>
      </c>
      <c r="U24" t="s">
        <v>464</v>
      </c>
      <c r="V24" t="s">
        <v>465</v>
      </c>
      <c r="W24" t="s">
        <v>466</v>
      </c>
      <c r="X24" t="s">
        <v>467</v>
      </c>
      <c r="Y24" t="s">
        <v>468</v>
      </c>
      <c r="Z24" t="s">
        <v>469</v>
      </c>
      <c r="AA24" t="s">
        <v>470</v>
      </c>
      <c r="AB24" t="s">
        <v>471</v>
      </c>
      <c r="AC24" t="s">
        <v>74</v>
      </c>
      <c r="AD24" t="s">
        <v>74</v>
      </c>
      <c r="AE24" t="s">
        <v>74</v>
      </c>
      <c r="AF24" t="s">
        <v>74</v>
      </c>
      <c r="AG24">
        <v>45</v>
      </c>
      <c r="AH24">
        <v>43</v>
      </c>
      <c r="AI24">
        <v>48</v>
      </c>
      <c r="AJ24">
        <v>0</v>
      </c>
      <c r="AK24">
        <v>16</v>
      </c>
      <c r="AL24" t="s">
        <v>472</v>
      </c>
      <c r="AM24" t="s">
        <v>473</v>
      </c>
      <c r="AN24" t="s">
        <v>474</v>
      </c>
      <c r="AO24" t="s">
        <v>475</v>
      </c>
      <c r="AP24" t="s">
        <v>476</v>
      </c>
      <c r="AQ24" t="s">
        <v>74</v>
      </c>
      <c r="AR24" t="s">
        <v>477</v>
      </c>
      <c r="AS24" t="s">
        <v>478</v>
      </c>
      <c r="AT24" t="s">
        <v>419</v>
      </c>
      <c r="AU24">
        <v>2005</v>
      </c>
      <c r="AV24">
        <v>25</v>
      </c>
      <c r="AW24">
        <v>8</v>
      </c>
      <c r="AX24" t="s">
        <v>74</v>
      </c>
      <c r="AY24" t="s">
        <v>74</v>
      </c>
      <c r="AZ24" t="s">
        <v>74</v>
      </c>
      <c r="BA24" t="s">
        <v>74</v>
      </c>
      <c r="BB24">
        <v>1081</v>
      </c>
      <c r="BC24">
        <v>1101</v>
      </c>
      <c r="BD24" t="s">
        <v>74</v>
      </c>
      <c r="BE24" t="s">
        <v>479</v>
      </c>
      <c r="BF24" t="str">
        <f>HYPERLINK("http://dx.doi.org/10.1002/joc.1152","http://dx.doi.org/10.1002/joc.1152")</f>
        <v>http://dx.doi.org/10.1002/joc.1152</v>
      </c>
      <c r="BG24" t="s">
        <v>74</v>
      </c>
      <c r="BH24" t="s">
        <v>74</v>
      </c>
      <c r="BI24">
        <v>21</v>
      </c>
      <c r="BJ24" t="s">
        <v>401</v>
      </c>
      <c r="BK24" t="s">
        <v>95</v>
      </c>
      <c r="BL24" t="s">
        <v>401</v>
      </c>
      <c r="BM24" t="s">
        <v>480</v>
      </c>
      <c r="BN24" t="s">
        <v>74</v>
      </c>
      <c r="BO24" t="s">
        <v>74</v>
      </c>
      <c r="BP24" t="s">
        <v>74</v>
      </c>
      <c r="BQ24" t="s">
        <v>74</v>
      </c>
      <c r="BR24" t="s">
        <v>97</v>
      </c>
      <c r="BS24" t="s">
        <v>481</v>
      </c>
      <c r="BT24" t="str">
        <f>HYPERLINK("https%3A%2F%2Fwww.webofscience.com%2Fwos%2Fwoscc%2Ffull-record%2FWOS:000230327400004","View Full Record in Web of Science")</f>
        <v>View Full Record in Web of Science</v>
      </c>
    </row>
    <row r="25" spans="1:72" x14ac:dyDescent="0.15">
      <c r="A25" t="s">
        <v>72</v>
      </c>
      <c r="B25" t="s">
        <v>482</v>
      </c>
      <c r="C25" t="s">
        <v>74</v>
      </c>
      <c r="D25" t="s">
        <v>74</v>
      </c>
      <c r="E25" t="s">
        <v>74</v>
      </c>
      <c r="F25" t="s">
        <v>482</v>
      </c>
      <c r="G25" t="s">
        <v>74</v>
      </c>
      <c r="H25" t="s">
        <v>74</v>
      </c>
      <c r="I25" t="s">
        <v>483</v>
      </c>
      <c r="J25" t="s">
        <v>462</v>
      </c>
      <c r="K25" t="s">
        <v>74</v>
      </c>
      <c r="L25" t="s">
        <v>74</v>
      </c>
      <c r="M25" t="s">
        <v>77</v>
      </c>
      <c r="N25" t="s">
        <v>484</v>
      </c>
      <c r="O25" t="s">
        <v>74</v>
      </c>
      <c r="P25" t="s">
        <v>74</v>
      </c>
      <c r="Q25" t="s">
        <v>74</v>
      </c>
      <c r="R25" t="s">
        <v>74</v>
      </c>
      <c r="S25" t="s">
        <v>74</v>
      </c>
      <c r="T25" t="s">
        <v>74</v>
      </c>
      <c r="U25" t="s">
        <v>74</v>
      </c>
      <c r="V25" t="s">
        <v>74</v>
      </c>
      <c r="W25" t="s">
        <v>74</v>
      </c>
      <c r="X25" t="s">
        <v>74</v>
      </c>
      <c r="Y25" t="s">
        <v>74</v>
      </c>
      <c r="Z25" t="s">
        <v>74</v>
      </c>
      <c r="AA25" t="s">
        <v>485</v>
      </c>
      <c r="AB25" t="s">
        <v>486</v>
      </c>
      <c r="AC25" t="s">
        <v>74</v>
      </c>
      <c r="AD25" t="s">
        <v>74</v>
      </c>
      <c r="AE25" t="s">
        <v>74</v>
      </c>
      <c r="AF25" t="s">
        <v>74</v>
      </c>
      <c r="AG25">
        <v>1</v>
      </c>
      <c r="AH25">
        <v>1</v>
      </c>
      <c r="AI25">
        <v>1</v>
      </c>
      <c r="AJ25">
        <v>0</v>
      </c>
      <c r="AK25">
        <v>6</v>
      </c>
      <c r="AL25" t="s">
        <v>487</v>
      </c>
      <c r="AM25" t="s">
        <v>488</v>
      </c>
      <c r="AN25" t="s">
        <v>489</v>
      </c>
      <c r="AO25" t="s">
        <v>475</v>
      </c>
      <c r="AP25" t="s">
        <v>74</v>
      </c>
      <c r="AQ25" t="s">
        <v>74</v>
      </c>
      <c r="AR25" t="s">
        <v>477</v>
      </c>
      <c r="AS25" t="s">
        <v>478</v>
      </c>
      <c r="AT25" t="s">
        <v>419</v>
      </c>
      <c r="AU25">
        <v>2005</v>
      </c>
      <c r="AV25">
        <v>25</v>
      </c>
      <c r="AW25">
        <v>8</v>
      </c>
      <c r="AX25" t="s">
        <v>74</v>
      </c>
      <c r="AY25" t="s">
        <v>74</v>
      </c>
      <c r="AZ25" t="s">
        <v>74</v>
      </c>
      <c r="BA25" t="s">
        <v>74</v>
      </c>
      <c r="BB25">
        <v>1147</v>
      </c>
      <c r="BC25">
        <v>1148</v>
      </c>
      <c r="BD25" t="s">
        <v>74</v>
      </c>
      <c r="BE25" t="s">
        <v>490</v>
      </c>
      <c r="BF25" t="str">
        <f>HYPERLINK("http://dx.doi.org/10.1002/joc.1212","http://dx.doi.org/10.1002/joc.1212")</f>
        <v>http://dx.doi.org/10.1002/joc.1212</v>
      </c>
      <c r="BG25" t="s">
        <v>74</v>
      </c>
      <c r="BH25" t="s">
        <v>74</v>
      </c>
      <c r="BI25">
        <v>2</v>
      </c>
      <c r="BJ25" t="s">
        <v>401</v>
      </c>
      <c r="BK25" t="s">
        <v>95</v>
      </c>
      <c r="BL25" t="s">
        <v>401</v>
      </c>
      <c r="BM25" t="s">
        <v>480</v>
      </c>
      <c r="BN25" t="s">
        <v>74</v>
      </c>
      <c r="BO25" t="s">
        <v>74</v>
      </c>
      <c r="BP25" t="s">
        <v>74</v>
      </c>
      <c r="BQ25" t="s">
        <v>74</v>
      </c>
      <c r="BR25" t="s">
        <v>97</v>
      </c>
      <c r="BS25" t="s">
        <v>491</v>
      </c>
      <c r="BT25" t="str">
        <f>HYPERLINK("https%3A%2F%2Fwww.webofscience.com%2Fwos%2Fwoscc%2Ffull-record%2FWOS:000230327400008","View Full Record in Web of Science")</f>
        <v>View Full Record in Web of Science</v>
      </c>
    </row>
    <row r="26" spans="1:72" x14ac:dyDescent="0.15">
      <c r="A26" t="s">
        <v>72</v>
      </c>
      <c r="B26" t="s">
        <v>492</v>
      </c>
      <c r="C26" t="s">
        <v>74</v>
      </c>
      <c r="D26" t="s">
        <v>74</v>
      </c>
      <c r="E26" t="s">
        <v>74</v>
      </c>
      <c r="F26" t="s">
        <v>492</v>
      </c>
      <c r="G26" t="s">
        <v>74</v>
      </c>
      <c r="H26" t="s">
        <v>74</v>
      </c>
      <c r="I26" t="s">
        <v>493</v>
      </c>
      <c r="J26" t="s">
        <v>494</v>
      </c>
      <c r="K26" t="s">
        <v>74</v>
      </c>
      <c r="L26" t="s">
        <v>74</v>
      </c>
      <c r="M26" t="s">
        <v>77</v>
      </c>
      <c r="N26" t="s">
        <v>495</v>
      </c>
      <c r="O26" t="s">
        <v>496</v>
      </c>
      <c r="P26" t="s">
        <v>497</v>
      </c>
      <c r="Q26" t="s">
        <v>498</v>
      </c>
      <c r="R26" t="s">
        <v>74</v>
      </c>
      <c r="S26" t="s">
        <v>74</v>
      </c>
      <c r="T26" t="s">
        <v>499</v>
      </c>
      <c r="U26" t="s">
        <v>500</v>
      </c>
      <c r="V26" t="s">
        <v>501</v>
      </c>
      <c r="W26" t="s">
        <v>502</v>
      </c>
      <c r="X26" t="s">
        <v>503</v>
      </c>
      <c r="Y26" t="s">
        <v>504</v>
      </c>
      <c r="Z26" t="s">
        <v>505</v>
      </c>
      <c r="AA26" t="s">
        <v>506</v>
      </c>
      <c r="AB26" t="s">
        <v>507</v>
      </c>
      <c r="AC26" t="s">
        <v>74</v>
      </c>
      <c r="AD26" t="s">
        <v>74</v>
      </c>
      <c r="AE26" t="s">
        <v>74</v>
      </c>
      <c r="AF26" t="s">
        <v>74</v>
      </c>
      <c r="AG26">
        <v>20</v>
      </c>
      <c r="AH26">
        <v>16</v>
      </c>
      <c r="AI26">
        <v>16</v>
      </c>
      <c r="AJ26">
        <v>0</v>
      </c>
      <c r="AK26">
        <v>8</v>
      </c>
      <c r="AL26" t="s">
        <v>255</v>
      </c>
      <c r="AM26" t="s">
        <v>256</v>
      </c>
      <c r="AN26" t="s">
        <v>257</v>
      </c>
      <c r="AO26" t="s">
        <v>508</v>
      </c>
      <c r="AP26" t="s">
        <v>74</v>
      </c>
      <c r="AQ26" t="s">
        <v>74</v>
      </c>
      <c r="AR26" t="s">
        <v>509</v>
      </c>
      <c r="AS26" t="s">
        <v>510</v>
      </c>
      <c r="AT26" t="s">
        <v>419</v>
      </c>
      <c r="AU26">
        <v>2005</v>
      </c>
      <c r="AV26">
        <v>60</v>
      </c>
      <c r="AW26">
        <v>5</v>
      </c>
      <c r="AX26" t="s">
        <v>74</v>
      </c>
      <c r="AY26" t="s">
        <v>74</v>
      </c>
      <c r="AZ26" t="s">
        <v>511</v>
      </c>
      <c r="BA26" t="s">
        <v>74</v>
      </c>
      <c r="BB26">
        <v>725</v>
      </c>
      <c r="BC26">
        <v>730</v>
      </c>
      <c r="BD26" t="s">
        <v>74</v>
      </c>
      <c r="BE26" t="s">
        <v>512</v>
      </c>
      <c r="BF26" t="str">
        <f>HYPERLINK("http://dx.doi.org/10.1016/j.sab.2005.03.005","http://dx.doi.org/10.1016/j.sab.2005.03.005")</f>
        <v>http://dx.doi.org/10.1016/j.sab.2005.03.005</v>
      </c>
      <c r="BG26" t="s">
        <v>74</v>
      </c>
      <c r="BH26" t="s">
        <v>74</v>
      </c>
      <c r="BI26">
        <v>6</v>
      </c>
      <c r="BJ26" t="s">
        <v>513</v>
      </c>
      <c r="BK26" t="s">
        <v>514</v>
      </c>
      <c r="BL26" t="s">
        <v>513</v>
      </c>
      <c r="BM26" t="s">
        <v>515</v>
      </c>
      <c r="BN26" t="s">
        <v>74</v>
      </c>
      <c r="BO26" t="s">
        <v>74</v>
      </c>
      <c r="BP26" t="s">
        <v>74</v>
      </c>
      <c r="BQ26" t="s">
        <v>74</v>
      </c>
      <c r="BR26" t="s">
        <v>97</v>
      </c>
      <c r="BS26" t="s">
        <v>516</v>
      </c>
      <c r="BT26" t="str">
        <f>HYPERLINK("https%3A%2F%2Fwww.webofscience.com%2Fwos%2Fwoscc%2Ffull-record%2FWOS:000230022200023","View Full Record in Web of Science")</f>
        <v>View Full Record in Web of Science</v>
      </c>
    </row>
    <row r="27" spans="1:72" x14ac:dyDescent="0.15">
      <c r="A27" t="s">
        <v>72</v>
      </c>
      <c r="B27" t="s">
        <v>517</v>
      </c>
      <c r="C27" t="s">
        <v>74</v>
      </c>
      <c r="D27" t="s">
        <v>74</v>
      </c>
      <c r="E27" t="s">
        <v>74</v>
      </c>
      <c r="F27" t="s">
        <v>517</v>
      </c>
      <c r="G27" t="s">
        <v>74</v>
      </c>
      <c r="H27" t="s">
        <v>74</v>
      </c>
      <c r="I27" t="s">
        <v>518</v>
      </c>
      <c r="J27" t="s">
        <v>519</v>
      </c>
      <c r="K27" t="s">
        <v>74</v>
      </c>
      <c r="L27" t="s">
        <v>74</v>
      </c>
      <c r="M27" t="s">
        <v>77</v>
      </c>
      <c r="N27" t="s">
        <v>78</v>
      </c>
      <c r="O27" t="s">
        <v>74</v>
      </c>
      <c r="P27" t="s">
        <v>74</v>
      </c>
      <c r="Q27" t="s">
        <v>74</v>
      </c>
      <c r="R27" t="s">
        <v>74</v>
      </c>
      <c r="S27" t="s">
        <v>74</v>
      </c>
      <c r="T27" t="s">
        <v>74</v>
      </c>
      <c r="U27" t="s">
        <v>74</v>
      </c>
      <c r="V27" t="s">
        <v>520</v>
      </c>
      <c r="W27" t="s">
        <v>521</v>
      </c>
      <c r="X27" t="s">
        <v>522</v>
      </c>
      <c r="Y27" t="s">
        <v>523</v>
      </c>
      <c r="Z27" t="s">
        <v>524</v>
      </c>
      <c r="AA27" t="s">
        <v>525</v>
      </c>
      <c r="AB27" t="s">
        <v>526</v>
      </c>
      <c r="AC27" t="s">
        <v>74</v>
      </c>
      <c r="AD27" t="s">
        <v>74</v>
      </c>
      <c r="AE27" t="s">
        <v>74</v>
      </c>
      <c r="AF27" t="s">
        <v>74</v>
      </c>
      <c r="AG27">
        <v>16</v>
      </c>
      <c r="AH27">
        <v>18</v>
      </c>
      <c r="AI27">
        <v>19</v>
      </c>
      <c r="AJ27">
        <v>0</v>
      </c>
      <c r="AK27">
        <v>6</v>
      </c>
      <c r="AL27" t="s">
        <v>527</v>
      </c>
      <c r="AM27" t="s">
        <v>528</v>
      </c>
      <c r="AN27" t="s">
        <v>529</v>
      </c>
      <c r="AO27" t="s">
        <v>530</v>
      </c>
      <c r="AP27" t="s">
        <v>531</v>
      </c>
      <c r="AQ27" t="s">
        <v>74</v>
      </c>
      <c r="AR27" t="s">
        <v>532</v>
      </c>
      <c r="AS27" t="s">
        <v>533</v>
      </c>
      <c r="AT27" t="s">
        <v>534</v>
      </c>
      <c r="AU27">
        <v>2005</v>
      </c>
      <c r="AV27">
        <v>32</v>
      </c>
      <c r="AW27">
        <v>12</v>
      </c>
      <c r="AX27" t="s">
        <v>74</v>
      </c>
      <c r="AY27" t="s">
        <v>74</v>
      </c>
      <c r="AZ27" t="s">
        <v>74</v>
      </c>
      <c r="BA27" t="s">
        <v>74</v>
      </c>
      <c r="BB27" t="s">
        <v>74</v>
      </c>
      <c r="BC27" t="s">
        <v>74</v>
      </c>
      <c r="BD27" t="s">
        <v>535</v>
      </c>
      <c r="BE27" t="s">
        <v>536</v>
      </c>
      <c r="BF27" t="str">
        <f>HYPERLINK("http://dx.doi.org/10.1029/2005GL024460","http://dx.doi.org/10.1029/2005GL024460")</f>
        <v>http://dx.doi.org/10.1029/2005GL024460</v>
      </c>
      <c r="BG27" t="s">
        <v>74</v>
      </c>
      <c r="BH27" t="s">
        <v>74</v>
      </c>
      <c r="BI27">
        <v>4</v>
      </c>
      <c r="BJ27" t="s">
        <v>537</v>
      </c>
      <c r="BK27" t="s">
        <v>95</v>
      </c>
      <c r="BL27" t="s">
        <v>307</v>
      </c>
      <c r="BM27" t="s">
        <v>538</v>
      </c>
      <c r="BN27" t="s">
        <v>74</v>
      </c>
      <c r="BO27" t="s">
        <v>539</v>
      </c>
      <c r="BP27" t="s">
        <v>74</v>
      </c>
      <c r="BQ27" t="s">
        <v>74</v>
      </c>
      <c r="BR27" t="s">
        <v>97</v>
      </c>
      <c r="BS27" t="s">
        <v>540</v>
      </c>
      <c r="BT27" t="str">
        <f>HYPERLINK("https%3A%2F%2Fwww.webofscience.com%2Fwos%2Fwoscc%2Ffull-record%2FWOS:000230479700001","View Full Record in Web of Science")</f>
        <v>View Full Record in Web of Science</v>
      </c>
    </row>
    <row r="28" spans="1:72" x14ac:dyDescent="0.15">
      <c r="A28" t="s">
        <v>72</v>
      </c>
      <c r="B28" t="s">
        <v>541</v>
      </c>
      <c r="C28" t="s">
        <v>74</v>
      </c>
      <c r="D28" t="s">
        <v>74</v>
      </c>
      <c r="E28" t="s">
        <v>74</v>
      </c>
      <c r="F28" t="s">
        <v>541</v>
      </c>
      <c r="G28" t="s">
        <v>74</v>
      </c>
      <c r="H28" t="s">
        <v>74</v>
      </c>
      <c r="I28" t="s">
        <v>542</v>
      </c>
      <c r="J28" t="s">
        <v>543</v>
      </c>
      <c r="K28" t="s">
        <v>74</v>
      </c>
      <c r="L28" t="s">
        <v>74</v>
      </c>
      <c r="M28" t="s">
        <v>77</v>
      </c>
      <c r="N28" t="s">
        <v>78</v>
      </c>
      <c r="O28" t="s">
        <v>74</v>
      </c>
      <c r="P28" t="s">
        <v>74</v>
      </c>
      <c r="Q28" t="s">
        <v>74</v>
      </c>
      <c r="R28" t="s">
        <v>74</v>
      </c>
      <c r="S28" t="s">
        <v>74</v>
      </c>
      <c r="T28" t="s">
        <v>74</v>
      </c>
      <c r="U28" t="s">
        <v>74</v>
      </c>
      <c r="V28" t="s">
        <v>74</v>
      </c>
      <c r="W28" t="s">
        <v>74</v>
      </c>
      <c r="X28" t="s">
        <v>74</v>
      </c>
      <c r="Y28" t="s">
        <v>74</v>
      </c>
      <c r="Z28" t="s">
        <v>74</v>
      </c>
      <c r="AA28" t="s">
        <v>74</v>
      </c>
      <c r="AB28" t="s">
        <v>74</v>
      </c>
      <c r="AC28" t="s">
        <v>74</v>
      </c>
      <c r="AD28" t="s">
        <v>74</v>
      </c>
      <c r="AE28" t="s">
        <v>74</v>
      </c>
      <c r="AF28" t="s">
        <v>74</v>
      </c>
      <c r="AG28">
        <v>0</v>
      </c>
      <c r="AH28">
        <v>0</v>
      </c>
      <c r="AI28">
        <v>0</v>
      </c>
      <c r="AJ28">
        <v>0</v>
      </c>
      <c r="AK28">
        <v>0</v>
      </c>
      <c r="AL28" t="s">
        <v>544</v>
      </c>
      <c r="AM28" t="s">
        <v>545</v>
      </c>
      <c r="AN28" t="s">
        <v>546</v>
      </c>
      <c r="AO28" t="s">
        <v>547</v>
      </c>
      <c r="AP28" t="s">
        <v>74</v>
      </c>
      <c r="AQ28" t="s">
        <v>74</v>
      </c>
      <c r="AR28" t="s">
        <v>548</v>
      </c>
      <c r="AS28" t="s">
        <v>549</v>
      </c>
      <c r="AT28" t="s">
        <v>534</v>
      </c>
      <c r="AU28">
        <v>2005</v>
      </c>
      <c r="AV28">
        <v>18</v>
      </c>
      <c r="AW28">
        <v>12</v>
      </c>
      <c r="AX28" t="s">
        <v>74</v>
      </c>
      <c r="AY28" t="s">
        <v>74</v>
      </c>
      <c r="AZ28" t="s">
        <v>74</v>
      </c>
      <c r="BA28" t="s">
        <v>74</v>
      </c>
      <c r="BB28">
        <v>57</v>
      </c>
      <c r="BC28">
        <v>57</v>
      </c>
      <c r="BD28" t="s">
        <v>74</v>
      </c>
      <c r="BE28" t="s">
        <v>74</v>
      </c>
      <c r="BF28" t="s">
        <v>74</v>
      </c>
      <c r="BG28" t="s">
        <v>74</v>
      </c>
      <c r="BH28" t="s">
        <v>74</v>
      </c>
      <c r="BI28">
        <v>1</v>
      </c>
      <c r="BJ28" t="s">
        <v>550</v>
      </c>
      <c r="BK28" t="s">
        <v>95</v>
      </c>
      <c r="BL28" t="s">
        <v>551</v>
      </c>
      <c r="BM28" t="s">
        <v>552</v>
      </c>
      <c r="BN28" t="s">
        <v>74</v>
      </c>
      <c r="BO28" t="s">
        <v>74</v>
      </c>
      <c r="BP28" t="s">
        <v>74</v>
      </c>
      <c r="BQ28" t="s">
        <v>74</v>
      </c>
      <c r="BR28" t="s">
        <v>97</v>
      </c>
      <c r="BS28" t="s">
        <v>553</v>
      </c>
      <c r="BT28" t="str">
        <f>HYPERLINK("https%3A%2F%2Fwww.webofscience.com%2Fwos%2Fwoscc%2Ffull-record%2FWOS:000230370500056","View Full Record in Web of Science")</f>
        <v>View Full Record in Web of Science</v>
      </c>
    </row>
    <row r="29" spans="1:72" x14ac:dyDescent="0.15">
      <c r="A29" t="s">
        <v>72</v>
      </c>
      <c r="B29" t="s">
        <v>554</v>
      </c>
      <c r="C29" t="s">
        <v>74</v>
      </c>
      <c r="D29" t="s">
        <v>74</v>
      </c>
      <c r="E29" t="s">
        <v>74</v>
      </c>
      <c r="F29" t="s">
        <v>554</v>
      </c>
      <c r="G29" t="s">
        <v>74</v>
      </c>
      <c r="H29" t="s">
        <v>74</v>
      </c>
      <c r="I29" t="s">
        <v>555</v>
      </c>
      <c r="J29" t="s">
        <v>556</v>
      </c>
      <c r="K29" t="s">
        <v>74</v>
      </c>
      <c r="L29" t="s">
        <v>74</v>
      </c>
      <c r="M29" t="s">
        <v>77</v>
      </c>
      <c r="N29" t="s">
        <v>365</v>
      </c>
      <c r="O29" t="s">
        <v>74</v>
      </c>
      <c r="P29" t="s">
        <v>74</v>
      </c>
      <c r="Q29" t="s">
        <v>74</v>
      </c>
      <c r="R29" t="s">
        <v>74</v>
      </c>
      <c r="S29" t="s">
        <v>74</v>
      </c>
      <c r="T29" t="s">
        <v>74</v>
      </c>
      <c r="U29" t="s">
        <v>557</v>
      </c>
      <c r="V29" t="s">
        <v>558</v>
      </c>
      <c r="W29" t="s">
        <v>559</v>
      </c>
      <c r="X29" t="s">
        <v>560</v>
      </c>
      <c r="Y29" t="s">
        <v>561</v>
      </c>
      <c r="Z29" t="s">
        <v>562</v>
      </c>
      <c r="AA29" t="s">
        <v>563</v>
      </c>
      <c r="AB29" t="s">
        <v>564</v>
      </c>
      <c r="AC29" t="s">
        <v>74</v>
      </c>
      <c r="AD29" t="s">
        <v>74</v>
      </c>
      <c r="AE29" t="s">
        <v>74</v>
      </c>
      <c r="AF29" t="s">
        <v>74</v>
      </c>
      <c r="AG29">
        <v>125</v>
      </c>
      <c r="AH29">
        <v>227</v>
      </c>
      <c r="AI29">
        <v>235</v>
      </c>
      <c r="AJ29">
        <v>2</v>
      </c>
      <c r="AK29">
        <v>38</v>
      </c>
      <c r="AL29" t="s">
        <v>527</v>
      </c>
      <c r="AM29" t="s">
        <v>528</v>
      </c>
      <c r="AN29" t="s">
        <v>529</v>
      </c>
      <c r="AO29" t="s">
        <v>565</v>
      </c>
      <c r="AP29" t="s">
        <v>566</v>
      </c>
      <c r="AQ29" t="s">
        <v>74</v>
      </c>
      <c r="AR29" t="s">
        <v>567</v>
      </c>
      <c r="AS29" t="s">
        <v>568</v>
      </c>
      <c r="AT29" t="s">
        <v>534</v>
      </c>
      <c r="AU29">
        <v>2005</v>
      </c>
      <c r="AV29">
        <v>43</v>
      </c>
      <c r="AW29">
        <v>2</v>
      </c>
      <c r="AX29" t="s">
        <v>74</v>
      </c>
      <c r="AY29" t="s">
        <v>74</v>
      </c>
      <c r="AZ29" t="s">
        <v>74</v>
      </c>
      <c r="BA29" t="s">
        <v>74</v>
      </c>
      <c r="BB29" t="s">
        <v>74</v>
      </c>
      <c r="BC29" t="s">
        <v>74</v>
      </c>
      <c r="BD29" t="s">
        <v>569</v>
      </c>
      <c r="BE29" t="s">
        <v>570</v>
      </c>
      <c r="BF29" t="str">
        <f>HYPERLINK("http://dx.doi.org/10.1029/2004RG000155","http://dx.doi.org/10.1029/2004RG000155")</f>
        <v>http://dx.doi.org/10.1029/2004RG000155</v>
      </c>
      <c r="BG29" t="s">
        <v>74</v>
      </c>
      <c r="BH29" t="s">
        <v>74</v>
      </c>
      <c r="BI29">
        <v>28</v>
      </c>
      <c r="BJ29" t="s">
        <v>381</v>
      </c>
      <c r="BK29" t="s">
        <v>95</v>
      </c>
      <c r="BL29" t="s">
        <v>381</v>
      </c>
      <c r="BM29" t="s">
        <v>571</v>
      </c>
      <c r="BN29" t="s">
        <v>74</v>
      </c>
      <c r="BO29" t="s">
        <v>572</v>
      </c>
      <c r="BP29" t="s">
        <v>74</v>
      </c>
      <c r="BQ29" t="s">
        <v>74</v>
      </c>
      <c r="BR29" t="s">
        <v>97</v>
      </c>
      <c r="BS29" t="s">
        <v>573</v>
      </c>
      <c r="BT29" t="str">
        <f>HYPERLINK("https%3A%2F%2Fwww.webofscience.com%2Fwos%2Fwoscc%2Ffull-record%2FWOS:000230483800001","View Full Record in Web of Science")</f>
        <v>View Full Record in Web of Science</v>
      </c>
    </row>
    <row r="30" spans="1:72" x14ac:dyDescent="0.15">
      <c r="A30" t="s">
        <v>72</v>
      </c>
      <c r="B30" t="s">
        <v>574</v>
      </c>
      <c r="C30" t="s">
        <v>74</v>
      </c>
      <c r="D30" t="s">
        <v>74</v>
      </c>
      <c r="E30" t="s">
        <v>74</v>
      </c>
      <c r="F30" t="s">
        <v>574</v>
      </c>
      <c r="G30" t="s">
        <v>74</v>
      </c>
      <c r="H30" t="s">
        <v>74</v>
      </c>
      <c r="I30" t="s">
        <v>575</v>
      </c>
      <c r="J30" t="s">
        <v>519</v>
      </c>
      <c r="K30" t="s">
        <v>74</v>
      </c>
      <c r="L30" t="s">
        <v>74</v>
      </c>
      <c r="M30" t="s">
        <v>77</v>
      </c>
      <c r="N30" t="s">
        <v>78</v>
      </c>
      <c r="O30" t="s">
        <v>74</v>
      </c>
      <c r="P30" t="s">
        <v>74</v>
      </c>
      <c r="Q30" t="s">
        <v>74</v>
      </c>
      <c r="R30" t="s">
        <v>74</v>
      </c>
      <c r="S30" t="s">
        <v>74</v>
      </c>
      <c r="T30" t="s">
        <v>74</v>
      </c>
      <c r="U30" t="s">
        <v>576</v>
      </c>
      <c r="V30" t="s">
        <v>577</v>
      </c>
      <c r="W30" t="s">
        <v>578</v>
      </c>
      <c r="X30" t="s">
        <v>579</v>
      </c>
      <c r="Y30" t="s">
        <v>580</v>
      </c>
      <c r="Z30" t="s">
        <v>581</v>
      </c>
      <c r="AA30" t="s">
        <v>74</v>
      </c>
      <c r="AB30" t="s">
        <v>582</v>
      </c>
      <c r="AC30" t="s">
        <v>74</v>
      </c>
      <c r="AD30" t="s">
        <v>74</v>
      </c>
      <c r="AE30" t="s">
        <v>74</v>
      </c>
      <c r="AF30" t="s">
        <v>74</v>
      </c>
      <c r="AG30">
        <v>18</v>
      </c>
      <c r="AH30">
        <v>19</v>
      </c>
      <c r="AI30">
        <v>19</v>
      </c>
      <c r="AJ30">
        <v>0</v>
      </c>
      <c r="AK30">
        <v>2</v>
      </c>
      <c r="AL30" t="s">
        <v>527</v>
      </c>
      <c r="AM30" t="s">
        <v>528</v>
      </c>
      <c r="AN30" t="s">
        <v>529</v>
      </c>
      <c r="AO30" t="s">
        <v>530</v>
      </c>
      <c r="AP30" t="s">
        <v>531</v>
      </c>
      <c r="AQ30" t="s">
        <v>74</v>
      </c>
      <c r="AR30" t="s">
        <v>532</v>
      </c>
      <c r="AS30" t="s">
        <v>533</v>
      </c>
      <c r="AT30" t="s">
        <v>583</v>
      </c>
      <c r="AU30">
        <v>2005</v>
      </c>
      <c r="AV30">
        <v>32</v>
      </c>
      <c r="AW30">
        <v>12</v>
      </c>
      <c r="AX30" t="s">
        <v>74</v>
      </c>
      <c r="AY30" t="s">
        <v>74</v>
      </c>
      <c r="AZ30" t="s">
        <v>74</v>
      </c>
      <c r="BA30" t="s">
        <v>74</v>
      </c>
      <c r="BB30" t="s">
        <v>74</v>
      </c>
      <c r="BC30" t="s">
        <v>74</v>
      </c>
      <c r="BD30" t="s">
        <v>584</v>
      </c>
      <c r="BE30" t="s">
        <v>585</v>
      </c>
      <c r="BF30" t="str">
        <f>HYPERLINK("http://dx.doi.org/10.1029/2004GL022287","http://dx.doi.org/10.1029/2004GL022287")</f>
        <v>http://dx.doi.org/10.1029/2004GL022287</v>
      </c>
      <c r="BG30" t="s">
        <v>74</v>
      </c>
      <c r="BH30" t="s">
        <v>74</v>
      </c>
      <c r="BI30">
        <v>4</v>
      </c>
      <c r="BJ30" t="s">
        <v>537</v>
      </c>
      <c r="BK30" t="s">
        <v>95</v>
      </c>
      <c r="BL30" t="s">
        <v>307</v>
      </c>
      <c r="BM30" t="s">
        <v>586</v>
      </c>
      <c r="BN30" t="s">
        <v>74</v>
      </c>
      <c r="BO30" t="s">
        <v>74</v>
      </c>
      <c r="BP30" t="s">
        <v>74</v>
      </c>
      <c r="BQ30" t="s">
        <v>74</v>
      </c>
      <c r="BR30" t="s">
        <v>97</v>
      </c>
      <c r="BS30" t="s">
        <v>587</v>
      </c>
      <c r="BT30" t="str">
        <f>HYPERLINK("https%3A%2F%2Fwww.webofscience.com%2Fwos%2Fwoscc%2Ffull-record%2FWOS:000230479500001","View Full Record in Web of Science")</f>
        <v>View Full Record in Web of Science</v>
      </c>
    </row>
    <row r="31" spans="1:72" x14ac:dyDescent="0.15">
      <c r="A31" t="s">
        <v>72</v>
      </c>
      <c r="B31" t="s">
        <v>588</v>
      </c>
      <c r="C31" t="s">
        <v>74</v>
      </c>
      <c r="D31" t="s">
        <v>74</v>
      </c>
      <c r="E31" t="s">
        <v>74</v>
      </c>
      <c r="F31" t="s">
        <v>588</v>
      </c>
      <c r="G31" t="s">
        <v>74</v>
      </c>
      <c r="H31" t="s">
        <v>74</v>
      </c>
      <c r="I31" t="s">
        <v>589</v>
      </c>
      <c r="J31" t="s">
        <v>519</v>
      </c>
      <c r="K31" t="s">
        <v>74</v>
      </c>
      <c r="L31" t="s">
        <v>74</v>
      </c>
      <c r="M31" t="s">
        <v>77</v>
      </c>
      <c r="N31" t="s">
        <v>78</v>
      </c>
      <c r="O31" t="s">
        <v>74</v>
      </c>
      <c r="P31" t="s">
        <v>74</v>
      </c>
      <c r="Q31" t="s">
        <v>74</v>
      </c>
      <c r="R31" t="s">
        <v>74</v>
      </c>
      <c r="S31" t="s">
        <v>74</v>
      </c>
      <c r="T31" t="s">
        <v>74</v>
      </c>
      <c r="U31" t="s">
        <v>590</v>
      </c>
      <c r="V31" t="s">
        <v>591</v>
      </c>
      <c r="W31" t="s">
        <v>592</v>
      </c>
      <c r="X31" t="s">
        <v>593</v>
      </c>
      <c r="Y31" t="s">
        <v>594</v>
      </c>
      <c r="Z31" t="s">
        <v>595</v>
      </c>
      <c r="AA31" t="s">
        <v>596</v>
      </c>
      <c r="AB31" t="s">
        <v>597</v>
      </c>
      <c r="AC31" t="s">
        <v>74</v>
      </c>
      <c r="AD31" t="s">
        <v>74</v>
      </c>
      <c r="AE31" t="s">
        <v>74</v>
      </c>
      <c r="AF31" t="s">
        <v>74</v>
      </c>
      <c r="AG31">
        <v>10</v>
      </c>
      <c r="AH31">
        <v>32</v>
      </c>
      <c r="AI31">
        <v>35</v>
      </c>
      <c r="AJ31">
        <v>0</v>
      </c>
      <c r="AK31">
        <v>15</v>
      </c>
      <c r="AL31" t="s">
        <v>527</v>
      </c>
      <c r="AM31" t="s">
        <v>528</v>
      </c>
      <c r="AN31" t="s">
        <v>529</v>
      </c>
      <c r="AO31" t="s">
        <v>530</v>
      </c>
      <c r="AP31" t="s">
        <v>74</v>
      </c>
      <c r="AQ31" t="s">
        <v>74</v>
      </c>
      <c r="AR31" t="s">
        <v>532</v>
      </c>
      <c r="AS31" t="s">
        <v>533</v>
      </c>
      <c r="AT31" t="s">
        <v>583</v>
      </c>
      <c r="AU31">
        <v>2005</v>
      </c>
      <c r="AV31">
        <v>32</v>
      </c>
      <c r="AW31">
        <v>12</v>
      </c>
      <c r="AX31" t="s">
        <v>74</v>
      </c>
      <c r="AY31" t="s">
        <v>74</v>
      </c>
      <c r="AZ31" t="s">
        <v>74</v>
      </c>
      <c r="BA31" t="s">
        <v>74</v>
      </c>
      <c r="BB31" t="s">
        <v>74</v>
      </c>
      <c r="BC31" t="s">
        <v>74</v>
      </c>
      <c r="BD31" t="s">
        <v>598</v>
      </c>
      <c r="BE31" t="s">
        <v>599</v>
      </c>
      <c r="BF31" t="str">
        <f>HYPERLINK("http://dx.doi.org/10.1029/2005GL022784","http://dx.doi.org/10.1029/2005GL022784")</f>
        <v>http://dx.doi.org/10.1029/2005GL022784</v>
      </c>
      <c r="BG31" t="s">
        <v>74</v>
      </c>
      <c r="BH31" t="s">
        <v>74</v>
      </c>
      <c r="BI31">
        <v>4</v>
      </c>
      <c r="BJ31" t="s">
        <v>537</v>
      </c>
      <c r="BK31" t="s">
        <v>95</v>
      </c>
      <c r="BL31" t="s">
        <v>307</v>
      </c>
      <c r="BM31" t="s">
        <v>586</v>
      </c>
      <c r="BN31" t="s">
        <v>74</v>
      </c>
      <c r="BO31" t="s">
        <v>539</v>
      </c>
      <c r="BP31" t="s">
        <v>74</v>
      </c>
      <c r="BQ31" t="s">
        <v>74</v>
      </c>
      <c r="BR31" t="s">
        <v>97</v>
      </c>
      <c r="BS31" t="s">
        <v>600</v>
      </c>
      <c r="BT31" t="str">
        <f>HYPERLINK("https%3A%2F%2Fwww.webofscience.com%2Fwos%2Fwoscc%2Ffull-record%2FWOS:000230479500004","View Full Record in Web of Science")</f>
        <v>View Full Record in Web of Science</v>
      </c>
    </row>
    <row r="32" spans="1:72" x14ac:dyDescent="0.15">
      <c r="A32" t="s">
        <v>72</v>
      </c>
      <c r="B32" t="s">
        <v>601</v>
      </c>
      <c r="C32" t="s">
        <v>74</v>
      </c>
      <c r="D32" t="s">
        <v>74</v>
      </c>
      <c r="E32" t="s">
        <v>74</v>
      </c>
      <c r="F32" t="s">
        <v>601</v>
      </c>
      <c r="G32" t="s">
        <v>74</v>
      </c>
      <c r="H32" t="s">
        <v>74</v>
      </c>
      <c r="I32" t="s">
        <v>602</v>
      </c>
      <c r="J32" t="s">
        <v>519</v>
      </c>
      <c r="K32" t="s">
        <v>74</v>
      </c>
      <c r="L32" t="s">
        <v>74</v>
      </c>
      <c r="M32" t="s">
        <v>77</v>
      </c>
      <c r="N32" t="s">
        <v>78</v>
      </c>
      <c r="O32" t="s">
        <v>74</v>
      </c>
      <c r="P32" t="s">
        <v>74</v>
      </c>
      <c r="Q32" t="s">
        <v>74</v>
      </c>
      <c r="R32" t="s">
        <v>74</v>
      </c>
      <c r="S32" t="s">
        <v>74</v>
      </c>
      <c r="T32" t="s">
        <v>74</v>
      </c>
      <c r="U32" t="s">
        <v>603</v>
      </c>
      <c r="V32" t="s">
        <v>604</v>
      </c>
      <c r="W32" t="s">
        <v>605</v>
      </c>
      <c r="X32" t="s">
        <v>606</v>
      </c>
      <c r="Y32" t="s">
        <v>607</v>
      </c>
      <c r="Z32" t="s">
        <v>608</v>
      </c>
      <c r="AA32" t="s">
        <v>609</v>
      </c>
      <c r="AB32" t="s">
        <v>610</v>
      </c>
      <c r="AC32" t="s">
        <v>74</v>
      </c>
      <c r="AD32" t="s">
        <v>74</v>
      </c>
      <c r="AE32" t="s">
        <v>74</v>
      </c>
      <c r="AF32" t="s">
        <v>74</v>
      </c>
      <c r="AG32">
        <v>14</v>
      </c>
      <c r="AH32">
        <v>28</v>
      </c>
      <c r="AI32">
        <v>30</v>
      </c>
      <c r="AJ32">
        <v>0</v>
      </c>
      <c r="AK32">
        <v>9</v>
      </c>
      <c r="AL32" t="s">
        <v>527</v>
      </c>
      <c r="AM32" t="s">
        <v>528</v>
      </c>
      <c r="AN32" t="s">
        <v>529</v>
      </c>
      <c r="AO32" t="s">
        <v>530</v>
      </c>
      <c r="AP32" t="s">
        <v>74</v>
      </c>
      <c r="AQ32" t="s">
        <v>74</v>
      </c>
      <c r="AR32" t="s">
        <v>532</v>
      </c>
      <c r="AS32" t="s">
        <v>533</v>
      </c>
      <c r="AT32" t="s">
        <v>583</v>
      </c>
      <c r="AU32">
        <v>2005</v>
      </c>
      <c r="AV32">
        <v>32</v>
      </c>
      <c r="AW32">
        <v>12</v>
      </c>
      <c r="AX32" t="s">
        <v>74</v>
      </c>
      <c r="AY32" t="s">
        <v>74</v>
      </c>
      <c r="AZ32" t="s">
        <v>74</v>
      </c>
      <c r="BA32" t="s">
        <v>74</v>
      </c>
      <c r="BB32" t="s">
        <v>74</v>
      </c>
      <c r="BC32" t="s">
        <v>74</v>
      </c>
      <c r="BD32" t="s">
        <v>611</v>
      </c>
      <c r="BE32" t="s">
        <v>612</v>
      </c>
      <c r="BF32" t="str">
        <f>HYPERLINK("http://dx.doi.org/10.1029/2005GL022582","http://dx.doi.org/10.1029/2005GL022582")</f>
        <v>http://dx.doi.org/10.1029/2005GL022582</v>
      </c>
      <c r="BG32" t="s">
        <v>74</v>
      </c>
      <c r="BH32" t="s">
        <v>74</v>
      </c>
      <c r="BI32">
        <v>4</v>
      </c>
      <c r="BJ32" t="s">
        <v>537</v>
      </c>
      <c r="BK32" t="s">
        <v>95</v>
      </c>
      <c r="BL32" t="s">
        <v>307</v>
      </c>
      <c r="BM32" t="s">
        <v>586</v>
      </c>
      <c r="BN32" t="s">
        <v>74</v>
      </c>
      <c r="BO32" t="s">
        <v>613</v>
      </c>
      <c r="BP32" t="s">
        <v>74</v>
      </c>
      <c r="BQ32" t="s">
        <v>74</v>
      </c>
      <c r="BR32" t="s">
        <v>97</v>
      </c>
      <c r="BS32" t="s">
        <v>614</v>
      </c>
      <c r="BT32" t="str">
        <f>HYPERLINK("https%3A%2F%2Fwww.webofscience.com%2Fwos%2Fwoscc%2Ffull-record%2FWOS:000230479500003","View Full Record in Web of Science")</f>
        <v>View Full Record in Web of Science</v>
      </c>
    </row>
    <row r="33" spans="1:72" x14ac:dyDescent="0.15">
      <c r="A33" t="s">
        <v>72</v>
      </c>
      <c r="B33" t="s">
        <v>615</v>
      </c>
      <c r="C33" t="s">
        <v>74</v>
      </c>
      <c r="D33" t="s">
        <v>74</v>
      </c>
      <c r="E33" t="s">
        <v>74</v>
      </c>
      <c r="F33" t="s">
        <v>615</v>
      </c>
      <c r="G33" t="s">
        <v>74</v>
      </c>
      <c r="H33" t="s">
        <v>74</v>
      </c>
      <c r="I33" t="s">
        <v>616</v>
      </c>
      <c r="J33" t="s">
        <v>617</v>
      </c>
      <c r="K33" t="s">
        <v>74</v>
      </c>
      <c r="L33" t="s">
        <v>74</v>
      </c>
      <c r="M33" t="s">
        <v>77</v>
      </c>
      <c r="N33" t="s">
        <v>78</v>
      </c>
      <c r="O33" t="s">
        <v>74</v>
      </c>
      <c r="P33" t="s">
        <v>74</v>
      </c>
      <c r="Q33" t="s">
        <v>74</v>
      </c>
      <c r="R33" t="s">
        <v>74</v>
      </c>
      <c r="S33" t="s">
        <v>74</v>
      </c>
      <c r="T33" t="s">
        <v>74</v>
      </c>
      <c r="U33" t="s">
        <v>618</v>
      </c>
      <c r="V33" t="s">
        <v>619</v>
      </c>
      <c r="W33" t="s">
        <v>620</v>
      </c>
      <c r="X33" t="s">
        <v>621</v>
      </c>
      <c r="Y33" t="s">
        <v>622</v>
      </c>
      <c r="Z33" t="s">
        <v>623</v>
      </c>
      <c r="AA33" t="s">
        <v>74</v>
      </c>
      <c r="AB33" t="s">
        <v>624</v>
      </c>
      <c r="AC33" t="s">
        <v>74</v>
      </c>
      <c r="AD33" t="s">
        <v>74</v>
      </c>
      <c r="AE33" t="s">
        <v>74</v>
      </c>
      <c r="AF33" t="s">
        <v>74</v>
      </c>
      <c r="AG33">
        <v>71</v>
      </c>
      <c r="AH33">
        <v>20</v>
      </c>
      <c r="AI33">
        <v>20</v>
      </c>
      <c r="AJ33">
        <v>0</v>
      </c>
      <c r="AK33">
        <v>3</v>
      </c>
      <c r="AL33" t="s">
        <v>527</v>
      </c>
      <c r="AM33" t="s">
        <v>528</v>
      </c>
      <c r="AN33" t="s">
        <v>529</v>
      </c>
      <c r="AO33" t="s">
        <v>625</v>
      </c>
      <c r="AP33" t="s">
        <v>626</v>
      </c>
      <c r="AQ33" t="s">
        <v>74</v>
      </c>
      <c r="AR33" t="s">
        <v>627</v>
      </c>
      <c r="AS33" t="s">
        <v>628</v>
      </c>
      <c r="AT33" t="s">
        <v>583</v>
      </c>
      <c r="AU33">
        <v>2005</v>
      </c>
      <c r="AV33">
        <v>110</v>
      </c>
      <c r="AW33" t="s">
        <v>629</v>
      </c>
      <c r="AX33" t="s">
        <v>74</v>
      </c>
      <c r="AY33" t="s">
        <v>74</v>
      </c>
      <c r="AZ33" t="s">
        <v>74</v>
      </c>
      <c r="BA33" t="s">
        <v>74</v>
      </c>
      <c r="BB33" t="s">
        <v>74</v>
      </c>
      <c r="BC33" t="s">
        <v>74</v>
      </c>
      <c r="BD33" t="s">
        <v>630</v>
      </c>
      <c r="BE33" t="s">
        <v>631</v>
      </c>
      <c r="BF33" t="str">
        <f>HYPERLINK("http://dx.doi.org/10.1029/2004JC002648","http://dx.doi.org/10.1029/2004JC002648")</f>
        <v>http://dx.doi.org/10.1029/2004JC002648</v>
      </c>
      <c r="BG33" t="s">
        <v>74</v>
      </c>
      <c r="BH33" t="s">
        <v>74</v>
      </c>
      <c r="BI33">
        <v>22</v>
      </c>
      <c r="BJ33" t="s">
        <v>632</v>
      </c>
      <c r="BK33" t="s">
        <v>95</v>
      </c>
      <c r="BL33" t="s">
        <v>632</v>
      </c>
      <c r="BM33" t="s">
        <v>633</v>
      </c>
      <c r="BN33" t="s">
        <v>74</v>
      </c>
      <c r="BO33" t="s">
        <v>74</v>
      </c>
      <c r="BP33" t="s">
        <v>74</v>
      </c>
      <c r="BQ33" t="s">
        <v>74</v>
      </c>
      <c r="BR33" t="s">
        <v>97</v>
      </c>
      <c r="BS33" t="s">
        <v>634</v>
      </c>
      <c r="BT33" t="str">
        <f>HYPERLINK("https%3A%2F%2Fwww.webofscience.com%2Fwos%2Fwoscc%2Ffull-record%2FWOS:000230482100002","View Full Record in Web of Science")</f>
        <v>View Full Record in Web of Science</v>
      </c>
    </row>
    <row r="34" spans="1:72" x14ac:dyDescent="0.15">
      <c r="A34" t="s">
        <v>72</v>
      </c>
      <c r="B34" t="s">
        <v>635</v>
      </c>
      <c r="C34" t="s">
        <v>74</v>
      </c>
      <c r="D34" t="s">
        <v>74</v>
      </c>
      <c r="E34" t="s">
        <v>74</v>
      </c>
      <c r="F34" t="s">
        <v>635</v>
      </c>
      <c r="G34" t="s">
        <v>74</v>
      </c>
      <c r="H34" t="s">
        <v>74</v>
      </c>
      <c r="I34" t="s">
        <v>636</v>
      </c>
      <c r="J34" t="s">
        <v>637</v>
      </c>
      <c r="K34" t="s">
        <v>74</v>
      </c>
      <c r="L34" t="s">
        <v>74</v>
      </c>
      <c r="M34" t="s">
        <v>77</v>
      </c>
      <c r="N34" t="s">
        <v>78</v>
      </c>
      <c r="O34" t="s">
        <v>74</v>
      </c>
      <c r="P34" t="s">
        <v>74</v>
      </c>
      <c r="Q34" t="s">
        <v>74</v>
      </c>
      <c r="R34" t="s">
        <v>74</v>
      </c>
      <c r="S34" t="s">
        <v>74</v>
      </c>
      <c r="T34" t="s">
        <v>74</v>
      </c>
      <c r="U34" t="s">
        <v>638</v>
      </c>
      <c r="V34" t="s">
        <v>639</v>
      </c>
      <c r="W34" t="s">
        <v>640</v>
      </c>
      <c r="X34" t="s">
        <v>641</v>
      </c>
      <c r="Y34" t="s">
        <v>642</v>
      </c>
      <c r="Z34" t="s">
        <v>643</v>
      </c>
      <c r="AA34" t="s">
        <v>74</v>
      </c>
      <c r="AB34" t="s">
        <v>74</v>
      </c>
      <c r="AC34" t="s">
        <v>74</v>
      </c>
      <c r="AD34" t="s">
        <v>74</v>
      </c>
      <c r="AE34" t="s">
        <v>74</v>
      </c>
      <c r="AF34" t="s">
        <v>74</v>
      </c>
      <c r="AG34">
        <v>69</v>
      </c>
      <c r="AH34">
        <v>23</v>
      </c>
      <c r="AI34">
        <v>26</v>
      </c>
      <c r="AJ34">
        <v>0</v>
      </c>
      <c r="AK34">
        <v>8</v>
      </c>
      <c r="AL34" t="s">
        <v>527</v>
      </c>
      <c r="AM34" t="s">
        <v>528</v>
      </c>
      <c r="AN34" t="s">
        <v>529</v>
      </c>
      <c r="AO34" t="s">
        <v>644</v>
      </c>
      <c r="AP34" t="s">
        <v>645</v>
      </c>
      <c r="AQ34" t="s">
        <v>74</v>
      </c>
      <c r="AR34" t="s">
        <v>637</v>
      </c>
      <c r="AS34" t="s">
        <v>646</v>
      </c>
      <c r="AT34" t="s">
        <v>583</v>
      </c>
      <c r="AU34">
        <v>2005</v>
      </c>
      <c r="AV34">
        <v>20</v>
      </c>
      <c r="AW34">
        <v>2</v>
      </c>
      <c r="AX34" t="s">
        <v>74</v>
      </c>
      <c r="AY34" t="s">
        <v>74</v>
      </c>
      <c r="AZ34" t="s">
        <v>74</v>
      </c>
      <c r="BA34" t="s">
        <v>74</v>
      </c>
      <c r="BB34" t="s">
        <v>74</v>
      </c>
      <c r="BC34" t="s">
        <v>74</v>
      </c>
      <c r="BD34" t="s">
        <v>647</v>
      </c>
      <c r="BE34" t="s">
        <v>648</v>
      </c>
      <c r="BF34" t="str">
        <f>HYPERLINK("http://dx.doi.org/10.1029/2004PA001067","http://dx.doi.org/10.1029/2004PA001067")</f>
        <v>http://dx.doi.org/10.1029/2004PA001067</v>
      </c>
      <c r="BG34" t="s">
        <v>74</v>
      </c>
      <c r="BH34" t="s">
        <v>74</v>
      </c>
      <c r="BI34">
        <v>18</v>
      </c>
      <c r="BJ34" t="s">
        <v>649</v>
      </c>
      <c r="BK34" t="s">
        <v>95</v>
      </c>
      <c r="BL34" t="s">
        <v>650</v>
      </c>
      <c r="BM34" t="s">
        <v>651</v>
      </c>
      <c r="BN34" t="s">
        <v>74</v>
      </c>
      <c r="BO34" t="s">
        <v>539</v>
      </c>
      <c r="BP34" t="s">
        <v>74</v>
      </c>
      <c r="BQ34" t="s">
        <v>74</v>
      </c>
      <c r="BR34" t="s">
        <v>97</v>
      </c>
      <c r="BS34" t="s">
        <v>652</v>
      </c>
      <c r="BT34" t="str">
        <f>HYPERLINK("https%3A%2F%2Fwww.webofscience.com%2Fwos%2Fwoscc%2Ffull-record%2FWOS:000230483200001","View Full Record in Web of Science")</f>
        <v>View Full Record in Web of Science</v>
      </c>
    </row>
    <row r="35" spans="1:72" x14ac:dyDescent="0.15">
      <c r="A35" t="s">
        <v>72</v>
      </c>
      <c r="B35" t="s">
        <v>653</v>
      </c>
      <c r="C35" t="s">
        <v>74</v>
      </c>
      <c r="D35" t="s">
        <v>74</v>
      </c>
      <c r="E35" t="s">
        <v>74</v>
      </c>
      <c r="F35" t="s">
        <v>653</v>
      </c>
      <c r="G35" t="s">
        <v>74</v>
      </c>
      <c r="H35" t="s">
        <v>74</v>
      </c>
      <c r="I35" t="s">
        <v>654</v>
      </c>
      <c r="J35" t="s">
        <v>519</v>
      </c>
      <c r="K35" t="s">
        <v>74</v>
      </c>
      <c r="L35" t="s">
        <v>74</v>
      </c>
      <c r="M35" t="s">
        <v>77</v>
      </c>
      <c r="N35" t="s">
        <v>78</v>
      </c>
      <c r="O35" t="s">
        <v>74</v>
      </c>
      <c r="P35" t="s">
        <v>74</v>
      </c>
      <c r="Q35" t="s">
        <v>74</v>
      </c>
      <c r="R35" t="s">
        <v>74</v>
      </c>
      <c r="S35" t="s">
        <v>74</v>
      </c>
      <c r="T35" t="s">
        <v>74</v>
      </c>
      <c r="U35" t="s">
        <v>655</v>
      </c>
      <c r="V35" t="s">
        <v>656</v>
      </c>
      <c r="W35" t="s">
        <v>657</v>
      </c>
      <c r="X35" t="s">
        <v>467</v>
      </c>
      <c r="Y35" t="s">
        <v>658</v>
      </c>
      <c r="Z35" t="s">
        <v>469</v>
      </c>
      <c r="AA35" t="s">
        <v>659</v>
      </c>
      <c r="AB35" t="s">
        <v>660</v>
      </c>
      <c r="AC35" t="s">
        <v>74</v>
      </c>
      <c r="AD35" t="s">
        <v>74</v>
      </c>
      <c r="AE35" t="s">
        <v>74</v>
      </c>
      <c r="AF35" t="s">
        <v>74</v>
      </c>
      <c r="AG35">
        <v>23</v>
      </c>
      <c r="AH35">
        <v>184</v>
      </c>
      <c r="AI35">
        <v>202</v>
      </c>
      <c r="AJ35">
        <v>4</v>
      </c>
      <c r="AK35">
        <v>35</v>
      </c>
      <c r="AL35" t="s">
        <v>527</v>
      </c>
      <c r="AM35" t="s">
        <v>528</v>
      </c>
      <c r="AN35" t="s">
        <v>529</v>
      </c>
      <c r="AO35" t="s">
        <v>530</v>
      </c>
      <c r="AP35" t="s">
        <v>531</v>
      </c>
      <c r="AQ35" t="s">
        <v>74</v>
      </c>
      <c r="AR35" t="s">
        <v>532</v>
      </c>
      <c r="AS35" t="s">
        <v>533</v>
      </c>
      <c r="AT35" t="s">
        <v>661</v>
      </c>
      <c r="AU35">
        <v>2005</v>
      </c>
      <c r="AV35">
        <v>32</v>
      </c>
      <c r="AW35">
        <v>12</v>
      </c>
      <c r="AX35" t="s">
        <v>74</v>
      </c>
      <c r="AY35" t="s">
        <v>74</v>
      </c>
      <c r="AZ35" t="s">
        <v>74</v>
      </c>
      <c r="BA35" t="s">
        <v>74</v>
      </c>
      <c r="BB35" t="s">
        <v>74</v>
      </c>
      <c r="BC35" t="s">
        <v>74</v>
      </c>
      <c r="BD35" t="s">
        <v>662</v>
      </c>
      <c r="BE35" t="s">
        <v>663</v>
      </c>
      <c r="BF35" t="str">
        <f>HYPERLINK("http://dx.doi.org/10.1029/2005GL023247","http://dx.doi.org/10.1029/2005GL023247")</f>
        <v>http://dx.doi.org/10.1029/2005GL023247</v>
      </c>
      <c r="BG35" t="s">
        <v>74</v>
      </c>
      <c r="BH35" t="s">
        <v>74</v>
      </c>
      <c r="BI35">
        <v>4</v>
      </c>
      <c r="BJ35" t="s">
        <v>537</v>
      </c>
      <c r="BK35" t="s">
        <v>95</v>
      </c>
      <c r="BL35" t="s">
        <v>307</v>
      </c>
      <c r="BM35" t="s">
        <v>664</v>
      </c>
      <c r="BN35" t="s">
        <v>74</v>
      </c>
      <c r="BO35" t="s">
        <v>74</v>
      </c>
      <c r="BP35" t="s">
        <v>74</v>
      </c>
      <c r="BQ35" t="s">
        <v>74</v>
      </c>
      <c r="BR35" t="s">
        <v>97</v>
      </c>
      <c r="BS35" t="s">
        <v>665</v>
      </c>
      <c r="BT35" t="str">
        <f>HYPERLINK("https%3A%2F%2Fwww.webofscience.com%2Fwos%2Fwoscc%2Ffull-record%2FWOS:000230169900005","View Full Record in Web of Science")</f>
        <v>View Full Record in Web of Science</v>
      </c>
    </row>
    <row r="36" spans="1:72" x14ac:dyDescent="0.15">
      <c r="A36" t="s">
        <v>72</v>
      </c>
      <c r="B36" t="s">
        <v>666</v>
      </c>
      <c r="C36" t="s">
        <v>74</v>
      </c>
      <c r="D36" t="s">
        <v>74</v>
      </c>
      <c r="E36" t="s">
        <v>74</v>
      </c>
      <c r="F36" t="s">
        <v>666</v>
      </c>
      <c r="G36" t="s">
        <v>74</v>
      </c>
      <c r="H36" t="s">
        <v>74</v>
      </c>
      <c r="I36" t="s">
        <v>667</v>
      </c>
      <c r="J36" t="s">
        <v>668</v>
      </c>
      <c r="K36" t="s">
        <v>74</v>
      </c>
      <c r="L36" t="s">
        <v>74</v>
      </c>
      <c r="M36" t="s">
        <v>77</v>
      </c>
      <c r="N36" t="s">
        <v>249</v>
      </c>
      <c r="O36" t="s">
        <v>74</v>
      </c>
      <c r="P36" t="s">
        <v>74</v>
      </c>
      <c r="Q36" t="s">
        <v>74</v>
      </c>
      <c r="R36" t="s">
        <v>74</v>
      </c>
      <c r="S36" t="s">
        <v>74</v>
      </c>
      <c r="T36" t="s">
        <v>74</v>
      </c>
      <c r="U36" t="s">
        <v>669</v>
      </c>
      <c r="V36" t="s">
        <v>74</v>
      </c>
      <c r="W36" t="s">
        <v>670</v>
      </c>
      <c r="X36" t="s">
        <v>671</v>
      </c>
      <c r="Y36" t="s">
        <v>672</v>
      </c>
      <c r="Z36" t="s">
        <v>673</v>
      </c>
      <c r="AA36" t="s">
        <v>674</v>
      </c>
      <c r="AB36" t="s">
        <v>675</v>
      </c>
      <c r="AC36" t="s">
        <v>74</v>
      </c>
      <c r="AD36" t="s">
        <v>74</v>
      </c>
      <c r="AE36" t="s">
        <v>74</v>
      </c>
      <c r="AF36" t="s">
        <v>74</v>
      </c>
      <c r="AG36">
        <v>12</v>
      </c>
      <c r="AH36">
        <v>28</v>
      </c>
      <c r="AI36">
        <v>34</v>
      </c>
      <c r="AJ36">
        <v>0</v>
      </c>
      <c r="AK36">
        <v>15</v>
      </c>
      <c r="AL36" t="s">
        <v>676</v>
      </c>
      <c r="AM36" t="s">
        <v>528</v>
      </c>
      <c r="AN36" t="s">
        <v>677</v>
      </c>
      <c r="AO36" t="s">
        <v>678</v>
      </c>
      <c r="AP36" t="s">
        <v>74</v>
      </c>
      <c r="AQ36" t="s">
        <v>74</v>
      </c>
      <c r="AR36" t="s">
        <v>668</v>
      </c>
      <c r="AS36" t="s">
        <v>679</v>
      </c>
      <c r="AT36" t="s">
        <v>680</v>
      </c>
      <c r="AU36">
        <v>2005</v>
      </c>
      <c r="AV36">
        <v>308</v>
      </c>
      <c r="AW36">
        <v>5730</v>
      </c>
      <c r="AX36" t="s">
        <v>74</v>
      </c>
      <c r="AY36" t="s">
        <v>74</v>
      </c>
      <c r="AZ36" t="s">
        <v>74</v>
      </c>
      <c r="BA36" t="s">
        <v>74</v>
      </c>
      <c r="BB36">
        <v>1877</v>
      </c>
      <c r="BC36">
        <v>1878</v>
      </c>
      <c r="BD36" t="s">
        <v>74</v>
      </c>
      <c r="BE36" t="s">
        <v>681</v>
      </c>
      <c r="BF36" t="str">
        <f>HYPERLINK("http://dx.doi.org/10.1126/science.1114670","http://dx.doi.org/10.1126/science.1114670")</f>
        <v>http://dx.doi.org/10.1126/science.1114670</v>
      </c>
      <c r="BG36" t="s">
        <v>74</v>
      </c>
      <c r="BH36" t="s">
        <v>74</v>
      </c>
      <c r="BI36">
        <v>2</v>
      </c>
      <c r="BJ36" t="s">
        <v>682</v>
      </c>
      <c r="BK36" t="s">
        <v>95</v>
      </c>
      <c r="BL36" t="s">
        <v>683</v>
      </c>
      <c r="BM36" t="s">
        <v>684</v>
      </c>
      <c r="BN36">
        <v>15976294</v>
      </c>
      <c r="BO36" t="s">
        <v>74</v>
      </c>
      <c r="BP36" t="s">
        <v>74</v>
      </c>
      <c r="BQ36" t="s">
        <v>74</v>
      </c>
      <c r="BR36" t="s">
        <v>97</v>
      </c>
      <c r="BS36" t="s">
        <v>685</v>
      </c>
      <c r="BT36" t="str">
        <f>HYPERLINK("https%3A%2F%2Fwww.webofscience.com%2Fwos%2Fwoscc%2Ffull-record%2FWOS:000230120000029","View Full Record in Web of Science")</f>
        <v>View Full Record in Web of Science</v>
      </c>
    </row>
    <row r="37" spans="1:72" x14ac:dyDescent="0.15">
      <c r="A37" t="s">
        <v>72</v>
      </c>
      <c r="B37" t="s">
        <v>686</v>
      </c>
      <c r="C37" t="s">
        <v>74</v>
      </c>
      <c r="D37" t="s">
        <v>74</v>
      </c>
      <c r="E37" t="s">
        <v>74</v>
      </c>
      <c r="F37" t="s">
        <v>686</v>
      </c>
      <c r="G37" t="s">
        <v>74</v>
      </c>
      <c r="H37" t="s">
        <v>74</v>
      </c>
      <c r="I37" t="s">
        <v>687</v>
      </c>
      <c r="J37" t="s">
        <v>668</v>
      </c>
      <c r="K37" t="s">
        <v>74</v>
      </c>
      <c r="L37" t="s">
        <v>74</v>
      </c>
      <c r="M37" t="s">
        <v>77</v>
      </c>
      <c r="N37" t="s">
        <v>78</v>
      </c>
      <c r="O37" t="s">
        <v>74</v>
      </c>
      <c r="P37" t="s">
        <v>74</v>
      </c>
      <c r="Q37" t="s">
        <v>74</v>
      </c>
      <c r="R37" t="s">
        <v>74</v>
      </c>
      <c r="S37" t="s">
        <v>74</v>
      </c>
      <c r="T37" t="s">
        <v>74</v>
      </c>
      <c r="U37" t="s">
        <v>688</v>
      </c>
      <c r="V37" t="s">
        <v>689</v>
      </c>
      <c r="W37" t="s">
        <v>690</v>
      </c>
      <c r="X37" t="s">
        <v>691</v>
      </c>
      <c r="Y37" t="s">
        <v>692</v>
      </c>
      <c r="Z37" t="s">
        <v>693</v>
      </c>
      <c r="AA37" t="s">
        <v>694</v>
      </c>
      <c r="AB37" t="s">
        <v>695</v>
      </c>
      <c r="AC37" t="s">
        <v>74</v>
      </c>
      <c r="AD37" t="s">
        <v>74</v>
      </c>
      <c r="AE37" t="s">
        <v>74</v>
      </c>
      <c r="AF37" t="s">
        <v>74</v>
      </c>
      <c r="AG37">
        <v>27</v>
      </c>
      <c r="AH37">
        <v>200</v>
      </c>
      <c r="AI37">
        <v>227</v>
      </c>
      <c r="AJ37">
        <v>3</v>
      </c>
      <c r="AK37">
        <v>213</v>
      </c>
      <c r="AL37" t="s">
        <v>676</v>
      </c>
      <c r="AM37" t="s">
        <v>528</v>
      </c>
      <c r="AN37" t="s">
        <v>677</v>
      </c>
      <c r="AO37" t="s">
        <v>678</v>
      </c>
      <c r="AP37" t="s">
        <v>696</v>
      </c>
      <c r="AQ37" t="s">
        <v>74</v>
      </c>
      <c r="AR37" t="s">
        <v>668</v>
      </c>
      <c r="AS37" t="s">
        <v>679</v>
      </c>
      <c r="AT37" t="s">
        <v>680</v>
      </c>
      <c r="AU37">
        <v>2005</v>
      </c>
      <c r="AV37">
        <v>308</v>
      </c>
      <c r="AW37">
        <v>5730</v>
      </c>
      <c r="AX37" t="s">
        <v>74</v>
      </c>
      <c r="AY37" t="s">
        <v>74</v>
      </c>
      <c r="AZ37" t="s">
        <v>74</v>
      </c>
      <c r="BA37" t="s">
        <v>74</v>
      </c>
      <c r="BB37">
        <v>1898</v>
      </c>
      <c r="BC37">
        <v>1901</v>
      </c>
      <c r="BD37" t="s">
        <v>74</v>
      </c>
      <c r="BE37" t="s">
        <v>697</v>
      </c>
      <c r="BF37" t="str">
        <f>HYPERLINK("http://dx.doi.org/10.1126/science.1110662","http://dx.doi.org/10.1126/science.1110662")</f>
        <v>http://dx.doi.org/10.1126/science.1110662</v>
      </c>
      <c r="BG37" t="s">
        <v>74</v>
      </c>
      <c r="BH37" t="s">
        <v>74</v>
      </c>
      <c r="BI37">
        <v>4</v>
      </c>
      <c r="BJ37" t="s">
        <v>682</v>
      </c>
      <c r="BK37" t="s">
        <v>95</v>
      </c>
      <c r="BL37" t="s">
        <v>683</v>
      </c>
      <c r="BM37" t="s">
        <v>684</v>
      </c>
      <c r="BN37">
        <v>15905362</v>
      </c>
      <c r="BO37" t="s">
        <v>539</v>
      </c>
      <c r="BP37" t="s">
        <v>74</v>
      </c>
      <c r="BQ37" t="s">
        <v>74</v>
      </c>
      <c r="BR37" t="s">
        <v>97</v>
      </c>
      <c r="BS37" t="s">
        <v>698</v>
      </c>
      <c r="BT37" t="str">
        <f>HYPERLINK("https%3A%2F%2Fwww.webofscience.com%2Fwos%2Fwoscc%2Ffull-record%2FWOS:000230120000037","View Full Record in Web of Science")</f>
        <v>View Full Record in Web of Science</v>
      </c>
    </row>
    <row r="38" spans="1:72" x14ac:dyDescent="0.15">
      <c r="A38" t="s">
        <v>72</v>
      </c>
      <c r="B38" t="s">
        <v>699</v>
      </c>
      <c r="C38" t="s">
        <v>74</v>
      </c>
      <c r="D38" t="s">
        <v>74</v>
      </c>
      <c r="E38" t="s">
        <v>74</v>
      </c>
      <c r="F38" t="s">
        <v>699</v>
      </c>
      <c r="G38" t="s">
        <v>74</v>
      </c>
      <c r="H38" t="s">
        <v>74</v>
      </c>
      <c r="I38" t="s">
        <v>700</v>
      </c>
      <c r="J38" t="s">
        <v>519</v>
      </c>
      <c r="K38" t="s">
        <v>74</v>
      </c>
      <c r="L38" t="s">
        <v>74</v>
      </c>
      <c r="M38" t="s">
        <v>77</v>
      </c>
      <c r="N38" t="s">
        <v>78</v>
      </c>
      <c r="O38" t="s">
        <v>74</v>
      </c>
      <c r="P38" t="s">
        <v>74</v>
      </c>
      <c r="Q38" t="s">
        <v>74</v>
      </c>
      <c r="R38" t="s">
        <v>74</v>
      </c>
      <c r="S38" t="s">
        <v>74</v>
      </c>
      <c r="T38" t="s">
        <v>74</v>
      </c>
      <c r="U38" t="s">
        <v>701</v>
      </c>
      <c r="V38" t="s">
        <v>702</v>
      </c>
      <c r="W38" t="s">
        <v>703</v>
      </c>
      <c r="X38" t="s">
        <v>704</v>
      </c>
      <c r="Y38" t="s">
        <v>705</v>
      </c>
      <c r="Z38" t="s">
        <v>706</v>
      </c>
      <c r="AA38" t="s">
        <v>707</v>
      </c>
      <c r="AB38" t="s">
        <v>610</v>
      </c>
      <c r="AC38" t="s">
        <v>74</v>
      </c>
      <c r="AD38" t="s">
        <v>74</v>
      </c>
      <c r="AE38" t="s">
        <v>74</v>
      </c>
      <c r="AF38" t="s">
        <v>74</v>
      </c>
      <c r="AG38">
        <v>16</v>
      </c>
      <c r="AH38">
        <v>27</v>
      </c>
      <c r="AI38">
        <v>27</v>
      </c>
      <c r="AJ38">
        <v>0</v>
      </c>
      <c r="AK38">
        <v>6</v>
      </c>
      <c r="AL38" t="s">
        <v>527</v>
      </c>
      <c r="AM38" t="s">
        <v>528</v>
      </c>
      <c r="AN38" t="s">
        <v>529</v>
      </c>
      <c r="AO38" t="s">
        <v>530</v>
      </c>
      <c r="AP38" t="s">
        <v>531</v>
      </c>
      <c r="AQ38" t="s">
        <v>74</v>
      </c>
      <c r="AR38" t="s">
        <v>532</v>
      </c>
      <c r="AS38" t="s">
        <v>533</v>
      </c>
      <c r="AT38" t="s">
        <v>708</v>
      </c>
      <c r="AU38">
        <v>2005</v>
      </c>
      <c r="AV38">
        <v>32</v>
      </c>
      <c r="AW38">
        <v>12</v>
      </c>
      <c r="AX38" t="s">
        <v>74</v>
      </c>
      <c r="AY38" t="s">
        <v>74</v>
      </c>
      <c r="AZ38" t="s">
        <v>74</v>
      </c>
      <c r="BA38" t="s">
        <v>74</v>
      </c>
      <c r="BB38" t="s">
        <v>74</v>
      </c>
      <c r="BC38" t="s">
        <v>74</v>
      </c>
      <c r="BD38" t="s">
        <v>709</v>
      </c>
      <c r="BE38" t="s">
        <v>710</v>
      </c>
      <c r="BF38" t="str">
        <f>HYPERLINK("http://dx.doi.org/10.1029/2005GL022823","http://dx.doi.org/10.1029/2005GL022823")</f>
        <v>http://dx.doi.org/10.1029/2005GL022823</v>
      </c>
      <c r="BG38" t="s">
        <v>74</v>
      </c>
      <c r="BH38" t="s">
        <v>74</v>
      </c>
      <c r="BI38">
        <v>5</v>
      </c>
      <c r="BJ38" t="s">
        <v>537</v>
      </c>
      <c r="BK38" t="s">
        <v>95</v>
      </c>
      <c r="BL38" t="s">
        <v>307</v>
      </c>
      <c r="BM38" t="s">
        <v>711</v>
      </c>
      <c r="BN38" t="s">
        <v>74</v>
      </c>
      <c r="BO38" t="s">
        <v>712</v>
      </c>
      <c r="BP38" t="s">
        <v>74</v>
      </c>
      <c r="BQ38" t="s">
        <v>74</v>
      </c>
      <c r="BR38" t="s">
        <v>97</v>
      </c>
      <c r="BS38" t="s">
        <v>713</v>
      </c>
      <c r="BT38" t="str">
        <f>HYPERLINK("https%3A%2F%2Fwww.webofscience.com%2Fwos%2Fwoscc%2Ffull-record%2FWOS:000230169700006","View Full Record in Web of Science")</f>
        <v>View Full Record in Web of Science</v>
      </c>
    </row>
    <row r="39" spans="1:72" x14ac:dyDescent="0.15">
      <c r="A39" t="s">
        <v>72</v>
      </c>
      <c r="B39" t="s">
        <v>714</v>
      </c>
      <c r="C39" t="s">
        <v>74</v>
      </c>
      <c r="D39" t="s">
        <v>74</v>
      </c>
      <c r="E39" t="s">
        <v>74</v>
      </c>
      <c r="F39" t="s">
        <v>714</v>
      </c>
      <c r="G39" t="s">
        <v>74</v>
      </c>
      <c r="H39" t="s">
        <v>74</v>
      </c>
      <c r="I39" t="s">
        <v>715</v>
      </c>
      <c r="J39" t="s">
        <v>519</v>
      </c>
      <c r="K39" t="s">
        <v>74</v>
      </c>
      <c r="L39" t="s">
        <v>74</v>
      </c>
      <c r="M39" t="s">
        <v>77</v>
      </c>
      <c r="N39" t="s">
        <v>78</v>
      </c>
      <c r="O39" t="s">
        <v>74</v>
      </c>
      <c r="P39" t="s">
        <v>74</v>
      </c>
      <c r="Q39" t="s">
        <v>74</v>
      </c>
      <c r="R39" t="s">
        <v>74</v>
      </c>
      <c r="S39" t="s">
        <v>74</v>
      </c>
      <c r="T39" t="s">
        <v>74</v>
      </c>
      <c r="U39" t="s">
        <v>716</v>
      </c>
      <c r="V39" t="s">
        <v>717</v>
      </c>
      <c r="W39" t="s">
        <v>718</v>
      </c>
      <c r="X39" t="s">
        <v>719</v>
      </c>
      <c r="Y39" t="s">
        <v>720</v>
      </c>
      <c r="Z39" t="s">
        <v>721</v>
      </c>
      <c r="AA39" t="s">
        <v>722</v>
      </c>
      <c r="AB39" t="s">
        <v>74</v>
      </c>
      <c r="AC39" t="s">
        <v>74</v>
      </c>
      <c r="AD39" t="s">
        <v>74</v>
      </c>
      <c r="AE39" t="s">
        <v>74</v>
      </c>
      <c r="AF39" t="s">
        <v>74</v>
      </c>
      <c r="AG39">
        <v>9</v>
      </c>
      <c r="AH39">
        <v>23</v>
      </c>
      <c r="AI39">
        <v>25</v>
      </c>
      <c r="AJ39">
        <v>0</v>
      </c>
      <c r="AK39">
        <v>2</v>
      </c>
      <c r="AL39" t="s">
        <v>527</v>
      </c>
      <c r="AM39" t="s">
        <v>528</v>
      </c>
      <c r="AN39" t="s">
        <v>529</v>
      </c>
      <c r="AO39" t="s">
        <v>530</v>
      </c>
      <c r="AP39" t="s">
        <v>531</v>
      </c>
      <c r="AQ39" t="s">
        <v>74</v>
      </c>
      <c r="AR39" t="s">
        <v>532</v>
      </c>
      <c r="AS39" t="s">
        <v>533</v>
      </c>
      <c r="AT39" t="s">
        <v>708</v>
      </c>
      <c r="AU39">
        <v>2005</v>
      </c>
      <c r="AV39">
        <v>32</v>
      </c>
      <c r="AW39">
        <v>12</v>
      </c>
      <c r="AX39" t="s">
        <v>74</v>
      </c>
      <c r="AY39" t="s">
        <v>74</v>
      </c>
      <c r="AZ39" t="s">
        <v>74</v>
      </c>
      <c r="BA39" t="s">
        <v>74</v>
      </c>
      <c r="BB39" t="s">
        <v>74</v>
      </c>
      <c r="BC39" t="s">
        <v>74</v>
      </c>
      <c r="BD39" t="s">
        <v>723</v>
      </c>
      <c r="BE39" t="s">
        <v>724</v>
      </c>
      <c r="BF39" t="str">
        <f>HYPERLINK("http://dx.doi.org/10.1029/2004GL022296","http://dx.doi.org/10.1029/2004GL022296")</f>
        <v>http://dx.doi.org/10.1029/2004GL022296</v>
      </c>
      <c r="BG39" t="s">
        <v>74</v>
      </c>
      <c r="BH39" t="s">
        <v>74</v>
      </c>
      <c r="BI39">
        <v>5</v>
      </c>
      <c r="BJ39" t="s">
        <v>537</v>
      </c>
      <c r="BK39" t="s">
        <v>95</v>
      </c>
      <c r="BL39" t="s">
        <v>307</v>
      </c>
      <c r="BM39" t="s">
        <v>711</v>
      </c>
      <c r="BN39" t="s">
        <v>74</v>
      </c>
      <c r="BO39" t="s">
        <v>74</v>
      </c>
      <c r="BP39" t="s">
        <v>74</v>
      </c>
      <c r="BQ39" t="s">
        <v>74</v>
      </c>
      <c r="BR39" t="s">
        <v>97</v>
      </c>
      <c r="BS39" t="s">
        <v>725</v>
      </c>
      <c r="BT39" t="str">
        <f>HYPERLINK("https%3A%2F%2Fwww.webofscience.com%2Fwos%2Fwoscc%2Ffull-record%2FWOS:000230169700003","View Full Record in Web of Science")</f>
        <v>View Full Record in Web of Science</v>
      </c>
    </row>
    <row r="40" spans="1:72" x14ac:dyDescent="0.15">
      <c r="A40" t="s">
        <v>72</v>
      </c>
      <c r="B40" t="s">
        <v>726</v>
      </c>
      <c r="C40" t="s">
        <v>74</v>
      </c>
      <c r="D40" t="s">
        <v>74</v>
      </c>
      <c r="E40" t="s">
        <v>74</v>
      </c>
      <c r="F40" t="s">
        <v>726</v>
      </c>
      <c r="G40" t="s">
        <v>74</v>
      </c>
      <c r="H40" t="s">
        <v>74</v>
      </c>
      <c r="I40" t="s">
        <v>727</v>
      </c>
      <c r="J40" t="s">
        <v>728</v>
      </c>
      <c r="K40" t="s">
        <v>74</v>
      </c>
      <c r="L40" t="s">
        <v>74</v>
      </c>
      <c r="M40" t="s">
        <v>77</v>
      </c>
      <c r="N40" t="s">
        <v>78</v>
      </c>
      <c r="O40" t="s">
        <v>74</v>
      </c>
      <c r="P40" t="s">
        <v>74</v>
      </c>
      <c r="Q40" t="s">
        <v>74</v>
      </c>
      <c r="R40" t="s">
        <v>74</v>
      </c>
      <c r="S40" t="s">
        <v>74</v>
      </c>
      <c r="T40" t="s">
        <v>729</v>
      </c>
      <c r="U40" t="s">
        <v>730</v>
      </c>
      <c r="V40" t="s">
        <v>731</v>
      </c>
      <c r="W40" t="s">
        <v>732</v>
      </c>
      <c r="X40" t="s">
        <v>733</v>
      </c>
      <c r="Y40" t="s">
        <v>734</v>
      </c>
      <c r="Z40" t="s">
        <v>735</v>
      </c>
      <c r="AA40" t="s">
        <v>736</v>
      </c>
      <c r="AB40" t="s">
        <v>737</v>
      </c>
      <c r="AC40" t="s">
        <v>74</v>
      </c>
      <c r="AD40" t="s">
        <v>74</v>
      </c>
      <c r="AE40" t="s">
        <v>74</v>
      </c>
      <c r="AF40" t="s">
        <v>74</v>
      </c>
      <c r="AG40">
        <v>27</v>
      </c>
      <c r="AH40">
        <v>107</v>
      </c>
      <c r="AI40">
        <v>125</v>
      </c>
      <c r="AJ40">
        <v>0</v>
      </c>
      <c r="AK40">
        <v>37</v>
      </c>
      <c r="AL40" t="s">
        <v>738</v>
      </c>
      <c r="AM40" t="s">
        <v>739</v>
      </c>
      <c r="AN40" t="s">
        <v>740</v>
      </c>
      <c r="AO40" t="s">
        <v>741</v>
      </c>
      <c r="AP40" t="s">
        <v>742</v>
      </c>
      <c r="AQ40" t="s">
        <v>74</v>
      </c>
      <c r="AR40" t="s">
        <v>743</v>
      </c>
      <c r="AS40" t="s">
        <v>744</v>
      </c>
      <c r="AT40" t="s">
        <v>745</v>
      </c>
      <c r="AU40">
        <v>2005</v>
      </c>
      <c r="AV40">
        <v>1</v>
      </c>
      <c r="AW40">
        <v>2</v>
      </c>
      <c r="AX40" t="s">
        <v>74</v>
      </c>
      <c r="AY40" t="s">
        <v>74</v>
      </c>
      <c r="AZ40" t="s">
        <v>74</v>
      </c>
      <c r="BA40" t="s">
        <v>74</v>
      </c>
      <c r="BB40">
        <v>151</v>
      </c>
      <c r="BC40">
        <v>154</v>
      </c>
      <c r="BD40" t="s">
        <v>74</v>
      </c>
      <c r="BE40" t="s">
        <v>746</v>
      </c>
      <c r="BF40" t="str">
        <f>HYPERLINK("http://dx.doi.org/10.1098/rsbl.2004.0280","http://dx.doi.org/10.1098/rsbl.2004.0280")</f>
        <v>http://dx.doi.org/10.1098/rsbl.2004.0280</v>
      </c>
      <c r="BG40" t="s">
        <v>74</v>
      </c>
      <c r="BH40" t="s">
        <v>74</v>
      </c>
      <c r="BI40">
        <v>4</v>
      </c>
      <c r="BJ40" t="s">
        <v>747</v>
      </c>
      <c r="BK40" t="s">
        <v>95</v>
      </c>
      <c r="BL40" t="s">
        <v>748</v>
      </c>
      <c r="BM40" t="s">
        <v>749</v>
      </c>
      <c r="BN40">
        <v>17148152</v>
      </c>
      <c r="BO40" t="s">
        <v>750</v>
      </c>
      <c r="BP40" t="s">
        <v>74</v>
      </c>
      <c r="BQ40" t="s">
        <v>74</v>
      </c>
      <c r="BR40" t="s">
        <v>97</v>
      </c>
      <c r="BS40" t="s">
        <v>751</v>
      </c>
      <c r="BT40" t="str">
        <f>HYPERLINK("https%3A%2F%2Fwww.webofscience.com%2Fwos%2Fwoscc%2Ffull-record%2FWOS:000232167100011","View Full Record in Web of Science")</f>
        <v>View Full Record in Web of Science</v>
      </c>
    </row>
    <row r="41" spans="1:72" x14ac:dyDescent="0.15">
      <c r="A41" t="s">
        <v>72</v>
      </c>
      <c r="B41" t="s">
        <v>752</v>
      </c>
      <c r="C41" t="s">
        <v>74</v>
      </c>
      <c r="D41" t="s">
        <v>74</v>
      </c>
      <c r="E41" t="s">
        <v>74</v>
      </c>
      <c r="F41" t="s">
        <v>752</v>
      </c>
      <c r="G41" t="s">
        <v>74</v>
      </c>
      <c r="H41" t="s">
        <v>74</v>
      </c>
      <c r="I41" t="s">
        <v>753</v>
      </c>
      <c r="J41" t="s">
        <v>617</v>
      </c>
      <c r="K41" t="s">
        <v>74</v>
      </c>
      <c r="L41" t="s">
        <v>74</v>
      </c>
      <c r="M41" t="s">
        <v>77</v>
      </c>
      <c r="N41" t="s">
        <v>78</v>
      </c>
      <c r="O41" t="s">
        <v>74</v>
      </c>
      <c r="P41" t="s">
        <v>74</v>
      </c>
      <c r="Q41" t="s">
        <v>74</v>
      </c>
      <c r="R41" t="s">
        <v>74</v>
      </c>
      <c r="S41" t="s">
        <v>74</v>
      </c>
      <c r="T41" t="s">
        <v>74</v>
      </c>
      <c r="U41" t="s">
        <v>754</v>
      </c>
      <c r="V41" t="s">
        <v>755</v>
      </c>
      <c r="W41" t="s">
        <v>756</v>
      </c>
      <c r="X41" t="s">
        <v>757</v>
      </c>
      <c r="Y41" t="s">
        <v>758</v>
      </c>
      <c r="Z41" t="s">
        <v>759</v>
      </c>
      <c r="AA41" t="s">
        <v>760</v>
      </c>
      <c r="AB41" t="s">
        <v>74</v>
      </c>
      <c r="AC41" t="s">
        <v>74</v>
      </c>
      <c r="AD41" t="s">
        <v>74</v>
      </c>
      <c r="AE41" t="s">
        <v>74</v>
      </c>
      <c r="AF41" t="s">
        <v>74</v>
      </c>
      <c r="AG41">
        <v>80</v>
      </c>
      <c r="AH41">
        <v>51</v>
      </c>
      <c r="AI41">
        <v>52</v>
      </c>
      <c r="AJ41">
        <v>0</v>
      </c>
      <c r="AK41">
        <v>15</v>
      </c>
      <c r="AL41" t="s">
        <v>527</v>
      </c>
      <c r="AM41" t="s">
        <v>528</v>
      </c>
      <c r="AN41" t="s">
        <v>529</v>
      </c>
      <c r="AO41" t="s">
        <v>625</v>
      </c>
      <c r="AP41" t="s">
        <v>626</v>
      </c>
      <c r="AQ41" t="s">
        <v>74</v>
      </c>
      <c r="AR41" t="s">
        <v>627</v>
      </c>
      <c r="AS41" t="s">
        <v>628</v>
      </c>
      <c r="AT41" t="s">
        <v>745</v>
      </c>
      <c r="AU41">
        <v>2005</v>
      </c>
      <c r="AV41">
        <v>110</v>
      </c>
      <c r="AW41" t="s">
        <v>629</v>
      </c>
      <c r="AX41" t="s">
        <v>74</v>
      </c>
      <c r="AY41" t="s">
        <v>74</v>
      </c>
      <c r="AZ41" t="s">
        <v>74</v>
      </c>
      <c r="BA41" t="s">
        <v>74</v>
      </c>
      <c r="BB41" t="s">
        <v>74</v>
      </c>
      <c r="BC41" t="s">
        <v>74</v>
      </c>
      <c r="BD41" t="s">
        <v>761</v>
      </c>
      <c r="BE41" t="s">
        <v>762</v>
      </c>
      <c r="BF41" t="str">
        <f>HYPERLINK("http://dx.doi.org/10.1029/2004JC002643","http://dx.doi.org/10.1029/2004JC002643")</f>
        <v>http://dx.doi.org/10.1029/2004JC002643</v>
      </c>
      <c r="BG41" t="s">
        <v>74</v>
      </c>
      <c r="BH41" t="s">
        <v>74</v>
      </c>
      <c r="BI41">
        <v>18</v>
      </c>
      <c r="BJ41" t="s">
        <v>632</v>
      </c>
      <c r="BK41" t="s">
        <v>95</v>
      </c>
      <c r="BL41" t="s">
        <v>632</v>
      </c>
      <c r="BM41" t="s">
        <v>763</v>
      </c>
      <c r="BN41" t="s">
        <v>74</v>
      </c>
      <c r="BO41" t="s">
        <v>613</v>
      </c>
      <c r="BP41" t="s">
        <v>74</v>
      </c>
      <c r="BQ41" t="s">
        <v>74</v>
      </c>
      <c r="BR41" t="s">
        <v>97</v>
      </c>
      <c r="BS41" t="s">
        <v>764</v>
      </c>
      <c r="BT41" t="str">
        <f>HYPERLINK("https%3A%2F%2Fwww.webofscience.com%2Fwos%2Fwoscc%2Ffull-record%2FWOS:000230170700002","View Full Record in Web of Science")</f>
        <v>View Full Record in Web of Science</v>
      </c>
    </row>
    <row r="42" spans="1:72" x14ac:dyDescent="0.15">
      <c r="A42" t="s">
        <v>72</v>
      </c>
      <c r="B42" t="s">
        <v>765</v>
      </c>
      <c r="C42" t="s">
        <v>74</v>
      </c>
      <c r="D42" t="s">
        <v>74</v>
      </c>
      <c r="E42" t="s">
        <v>74</v>
      </c>
      <c r="F42" t="s">
        <v>765</v>
      </c>
      <c r="G42" t="s">
        <v>74</v>
      </c>
      <c r="H42" t="s">
        <v>74</v>
      </c>
      <c r="I42" t="s">
        <v>766</v>
      </c>
      <c r="J42" t="s">
        <v>767</v>
      </c>
      <c r="K42" t="s">
        <v>74</v>
      </c>
      <c r="L42" t="s">
        <v>74</v>
      </c>
      <c r="M42" t="s">
        <v>77</v>
      </c>
      <c r="N42" t="s">
        <v>78</v>
      </c>
      <c r="O42" t="s">
        <v>74</v>
      </c>
      <c r="P42" t="s">
        <v>74</v>
      </c>
      <c r="Q42" t="s">
        <v>74</v>
      </c>
      <c r="R42" t="s">
        <v>74</v>
      </c>
      <c r="S42" t="s">
        <v>74</v>
      </c>
      <c r="T42" t="s">
        <v>768</v>
      </c>
      <c r="U42" t="s">
        <v>769</v>
      </c>
      <c r="V42" t="s">
        <v>770</v>
      </c>
      <c r="W42" t="s">
        <v>771</v>
      </c>
      <c r="X42" t="s">
        <v>772</v>
      </c>
      <c r="Y42" t="s">
        <v>773</v>
      </c>
      <c r="Z42" t="s">
        <v>774</v>
      </c>
      <c r="AA42" t="s">
        <v>74</v>
      </c>
      <c r="AB42" t="s">
        <v>775</v>
      </c>
      <c r="AC42" t="s">
        <v>74</v>
      </c>
      <c r="AD42" t="s">
        <v>74</v>
      </c>
      <c r="AE42" t="s">
        <v>74</v>
      </c>
      <c r="AF42" t="s">
        <v>74</v>
      </c>
      <c r="AG42">
        <v>50</v>
      </c>
      <c r="AH42">
        <v>169</v>
      </c>
      <c r="AI42">
        <v>190</v>
      </c>
      <c r="AJ42">
        <v>3</v>
      </c>
      <c r="AK42">
        <v>37</v>
      </c>
      <c r="AL42" t="s">
        <v>738</v>
      </c>
      <c r="AM42" t="s">
        <v>739</v>
      </c>
      <c r="AN42" t="s">
        <v>740</v>
      </c>
      <c r="AO42" t="s">
        <v>776</v>
      </c>
      <c r="AP42" t="s">
        <v>777</v>
      </c>
      <c r="AQ42" t="s">
        <v>74</v>
      </c>
      <c r="AR42" t="s">
        <v>778</v>
      </c>
      <c r="AS42" t="s">
        <v>779</v>
      </c>
      <c r="AT42" t="s">
        <v>745</v>
      </c>
      <c r="AU42">
        <v>2005</v>
      </c>
      <c r="AV42">
        <v>272</v>
      </c>
      <c r="AW42">
        <v>1569</v>
      </c>
      <c r="AX42" t="s">
        <v>74</v>
      </c>
      <c r="AY42" t="s">
        <v>74</v>
      </c>
      <c r="AZ42" t="s">
        <v>74</v>
      </c>
      <c r="BA42" t="s">
        <v>74</v>
      </c>
      <c r="BB42">
        <v>1295</v>
      </c>
      <c r="BC42">
        <v>1304</v>
      </c>
      <c r="BD42" t="s">
        <v>74</v>
      </c>
      <c r="BE42" t="s">
        <v>780</v>
      </c>
      <c r="BF42" t="str">
        <f>HYPERLINK("http://dx.doi.org/10.1098/rspb.2004.3042","http://dx.doi.org/10.1098/rspb.2004.3042")</f>
        <v>http://dx.doi.org/10.1098/rspb.2004.3042</v>
      </c>
      <c r="BG42" t="s">
        <v>74</v>
      </c>
      <c r="BH42" t="s">
        <v>74</v>
      </c>
      <c r="BI42">
        <v>10</v>
      </c>
      <c r="BJ42" t="s">
        <v>747</v>
      </c>
      <c r="BK42" t="s">
        <v>95</v>
      </c>
      <c r="BL42" t="s">
        <v>748</v>
      </c>
      <c r="BM42" t="s">
        <v>781</v>
      </c>
      <c r="BN42">
        <v>16024395</v>
      </c>
      <c r="BO42" t="s">
        <v>750</v>
      </c>
      <c r="BP42" t="s">
        <v>74</v>
      </c>
      <c r="BQ42" t="s">
        <v>74</v>
      </c>
      <c r="BR42" t="s">
        <v>97</v>
      </c>
      <c r="BS42" t="s">
        <v>782</v>
      </c>
      <c r="BT42" t="str">
        <f>HYPERLINK("https%3A%2F%2Fwww.webofscience.com%2Fwos%2Fwoscc%2Ffull-record%2FWOS:000230563200014","View Full Record in Web of Science")</f>
        <v>View Full Record in Web of Science</v>
      </c>
    </row>
    <row r="43" spans="1:72" x14ac:dyDescent="0.15">
      <c r="A43" t="s">
        <v>72</v>
      </c>
      <c r="B43" t="s">
        <v>783</v>
      </c>
      <c r="C43" t="s">
        <v>74</v>
      </c>
      <c r="D43" t="s">
        <v>74</v>
      </c>
      <c r="E43" t="s">
        <v>74</v>
      </c>
      <c r="F43" t="s">
        <v>783</v>
      </c>
      <c r="G43" t="s">
        <v>74</v>
      </c>
      <c r="H43" t="s">
        <v>74</v>
      </c>
      <c r="I43" t="s">
        <v>784</v>
      </c>
      <c r="J43" t="s">
        <v>785</v>
      </c>
      <c r="K43" t="s">
        <v>74</v>
      </c>
      <c r="L43" t="s">
        <v>74</v>
      </c>
      <c r="M43" t="s">
        <v>77</v>
      </c>
      <c r="N43" t="s">
        <v>78</v>
      </c>
      <c r="O43" t="s">
        <v>74</v>
      </c>
      <c r="P43" t="s">
        <v>74</v>
      </c>
      <c r="Q43" t="s">
        <v>74</v>
      </c>
      <c r="R43" t="s">
        <v>74</v>
      </c>
      <c r="S43" t="s">
        <v>74</v>
      </c>
      <c r="T43" t="s">
        <v>786</v>
      </c>
      <c r="U43" t="s">
        <v>787</v>
      </c>
      <c r="V43" t="s">
        <v>788</v>
      </c>
      <c r="W43" t="s">
        <v>789</v>
      </c>
      <c r="X43" t="s">
        <v>790</v>
      </c>
      <c r="Y43" t="s">
        <v>791</v>
      </c>
      <c r="Z43" t="s">
        <v>792</v>
      </c>
      <c r="AA43" t="s">
        <v>793</v>
      </c>
      <c r="AB43" t="s">
        <v>794</v>
      </c>
      <c r="AC43" t="s">
        <v>74</v>
      </c>
      <c r="AD43" t="s">
        <v>74</v>
      </c>
      <c r="AE43" t="s">
        <v>74</v>
      </c>
      <c r="AF43" t="s">
        <v>74</v>
      </c>
      <c r="AG43">
        <v>84</v>
      </c>
      <c r="AH43">
        <v>81</v>
      </c>
      <c r="AI43">
        <v>90</v>
      </c>
      <c r="AJ43">
        <v>1</v>
      </c>
      <c r="AK43">
        <v>19</v>
      </c>
      <c r="AL43" t="s">
        <v>435</v>
      </c>
      <c r="AM43" t="s">
        <v>436</v>
      </c>
      <c r="AN43" t="s">
        <v>437</v>
      </c>
      <c r="AO43" t="s">
        <v>795</v>
      </c>
      <c r="AP43" t="s">
        <v>796</v>
      </c>
      <c r="AQ43" t="s">
        <v>74</v>
      </c>
      <c r="AR43" t="s">
        <v>797</v>
      </c>
      <c r="AS43" t="s">
        <v>798</v>
      </c>
      <c r="AT43" t="s">
        <v>799</v>
      </c>
      <c r="AU43">
        <v>2005</v>
      </c>
      <c r="AV43">
        <v>222</v>
      </c>
      <c r="AW43" t="s">
        <v>442</v>
      </c>
      <c r="AX43" t="s">
        <v>74</v>
      </c>
      <c r="AY43" t="s">
        <v>74</v>
      </c>
      <c r="AZ43" t="s">
        <v>74</v>
      </c>
      <c r="BA43" t="s">
        <v>74</v>
      </c>
      <c r="BB43">
        <v>95</v>
      </c>
      <c r="BC43">
        <v>121</v>
      </c>
      <c r="BD43" t="s">
        <v>74</v>
      </c>
      <c r="BE43" t="s">
        <v>800</v>
      </c>
      <c r="BF43" t="str">
        <f>HYPERLINK("http://dx.doi.org/10.1016/j.palaeo.2005.03.011","http://dx.doi.org/10.1016/j.palaeo.2005.03.011")</f>
        <v>http://dx.doi.org/10.1016/j.palaeo.2005.03.011</v>
      </c>
      <c r="BG43" t="s">
        <v>74</v>
      </c>
      <c r="BH43" t="s">
        <v>74</v>
      </c>
      <c r="BI43">
        <v>27</v>
      </c>
      <c r="BJ43" t="s">
        <v>801</v>
      </c>
      <c r="BK43" t="s">
        <v>95</v>
      </c>
      <c r="BL43" t="s">
        <v>802</v>
      </c>
      <c r="BM43" t="s">
        <v>803</v>
      </c>
      <c r="BN43" t="s">
        <v>74</v>
      </c>
      <c r="BO43" t="s">
        <v>750</v>
      </c>
      <c r="BP43" t="s">
        <v>74</v>
      </c>
      <c r="BQ43" t="s">
        <v>74</v>
      </c>
      <c r="BR43" t="s">
        <v>97</v>
      </c>
      <c r="BS43" t="s">
        <v>804</v>
      </c>
      <c r="BT43" t="str">
        <f>HYPERLINK("https%3A%2F%2Fwww.webofscience.com%2Fwos%2Fwoscc%2Ffull-record%2FWOS:000230051500006","View Full Record in Web of Science")</f>
        <v>View Full Record in Web of Science</v>
      </c>
    </row>
    <row r="44" spans="1:72" x14ac:dyDescent="0.15">
      <c r="A44" t="s">
        <v>72</v>
      </c>
      <c r="B44" t="s">
        <v>805</v>
      </c>
      <c r="C44" t="s">
        <v>74</v>
      </c>
      <c r="D44" t="s">
        <v>74</v>
      </c>
      <c r="E44" t="s">
        <v>74</v>
      </c>
      <c r="F44" t="s">
        <v>805</v>
      </c>
      <c r="G44" t="s">
        <v>74</v>
      </c>
      <c r="H44" t="s">
        <v>74</v>
      </c>
      <c r="I44" t="s">
        <v>806</v>
      </c>
      <c r="J44" t="s">
        <v>637</v>
      </c>
      <c r="K44" t="s">
        <v>74</v>
      </c>
      <c r="L44" t="s">
        <v>74</v>
      </c>
      <c r="M44" t="s">
        <v>77</v>
      </c>
      <c r="N44" t="s">
        <v>78</v>
      </c>
      <c r="O44" t="s">
        <v>74</v>
      </c>
      <c r="P44" t="s">
        <v>74</v>
      </c>
      <c r="Q44" t="s">
        <v>74</v>
      </c>
      <c r="R44" t="s">
        <v>74</v>
      </c>
      <c r="S44" t="s">
        <v>74</v>
      </c>
      <c r="T44" t="s">
        <v>74</v>
      </c>
      <c r="U44" t="s">
        <v>807</v>
      </c>
      <c r="V44" t="s">
        <v>808</v>
      </c>
      <c r="W44" t="s">
        <v>809</v>
      </c>
      <c r="X44" t="s">
        <v>810</v>
      </c>
      <c r="Y44" t="s">
        <v>811</v>
      </c>
      <c r="Z44" t="s">
        <v>812</v>
      </c>
      <c r="AA44" t="s">
        <v>813</v>
      </c>
      <c r="AB44" t="s">
        <v>814</v>
      </c>
      <c r="AC44" t="s">
        <v>74</v>
      </c>
      <c r="AD44" t="s">
        <v>74</v>
      </c>
      <c r="AE44" t="s">
        <v>74</v>
      </c>
      <c r="AF44" t="s">
        <v>74</v>
      </c>
      <c r="AG44">
        <v>54</v>
      </c>
      <c r="AH44">
        <v>32</v>
      </c>
      <c r="AI44">
        <v>40</v>
      </c>
      <c r="AJ44">
        <v>0</v>
      </c>
      <c r="AK44">
        <v>24</v>
      </c>
      <c r="AL44" t="s">
        <v>527</v>
      </c>
      <c r="AM44" t="s">
        <v>528</v>
      </c>
      <c r="AN44" t="s">
        <v>529</v>
      </c>
      <c r="AO44" t="s">
        <v>644</v>
      </c>
      <c r="AP44" t="s">
        <v>645</v>
      </c>
      <c r="AQ44" t="s">
        <v>74</v>
      </c>
      <c r="AR44" t="s">
        <v>637</v>
      </c>
      <c r="AS44" t="s">
        <v>646</v>
      </c>
      <c r="AT44" t="s">
        <v>815</v>
      </c>
      <c r="AU44">
        <v>2005</v>
      </c>
      <c r="AV44">
        <v>20</v>
      </c>
      <c r="AW44">
        <v>2</v>
      </c>
      <c r="AX44" t="s">
        <v>74</v>
      </c>
      <c r="AY44" t="s">
        <v>74</v>
      </c>
      <c r="AZ44" t="s">
        <v>74</v>
      </c>
      <c r="BA44" t="s">
        <v>74</v>
      </c>
      <c r="BB44" t="s">
        <v>74</v>
      </c>
      <c r="BC44" t="s">
        <v>74</v>
      </c>
      <c r="BD44" t="s">
        <v>816</v>
      </c>
      <c r="BE44" t="s">
        <v>817</v>
      </c>
      <c r="BF44" t="str">
        <f>HYPERLINK("http://dx.doi.org/10.1029/2003PA000914","http://dx.doi.org/10.1029/2003PA000914")</f>
        <v>http://dx.doi.org/10.1029/2003PA000914</v>
      </c>
      <c r="BG44" t="s">
        <v>74</v>
      </c>
      <c r="BH44" t="s">
        <v>74</v>
      </c>
      <c r="BI44">
        <v>10</v>
      </c>
      <c r="BJ44" t="s">
        <v>649</v>
      </c>
      <c r="BK44" t="s">
        <v>95</v>
      </c>
      <c r="BL44" t="s">
        <v>650</v>
      </c>
      <c r="BM44" t="s">
        <v>818</v>
      </c>
      <c r="BN44" t="s">
        <v>74</v>
      </c>
      <c r="BO44" t="s">
        <v>74</v>
      </c>
      <c r="BP44" t="s">
        <v>74</v>
      </c>
      <c r="BQ44" t="s">
        <v>74</v>
      </c>
      <c r="BR44" t="s">
        <v>97</v>
      </c>
      <c r="BS44" t="s">
        <v>819</v>
      </c>
      <c r="BT44" t="str">
        <f>HYPERLINK("https%3A%2F%2Fwww.webofscience.com%2Fwos%2Fwoscc%2Ffull-record%2FWOS:000229994200001","View Full Record in Web of Science")</f>
        <v>View Full Record in Web of Science</v>
      </c>
    </row>
    <row r="45" spans="1:72" x14ac:dyDescent="0.15">
      <c r="A45" t="s">
        <v>72</v>
      </c>
      <c r="B45" t="s">
        <v>820</v>
      </c>
      <c r="C45" t="s">
        <v>74</v>
      </c>
      <c r="D45" t="s">
        <v>74</v>
      </c>
      <c r="E45" t="s">
        <v>74</v>
      </c>
      <c r="F45" t="s">
        <v>820</v>
      </c>
      <c r="G45" t="s">
        <v>74</v>
      </c>
      <c r="H45" t="s">
        <v>74</v>
      </c>
      <c r="I45" t="s">
        <v>821</v>
      </c>
      <c r="J45" t="s">
        <v>519</v>
      </c>
      <c r="K45" t="s">
        <v>74</v>
      </c>
      <c r="L45" t="s">
        <v>74</v>
      </c>
      <c r="M45" t="s">
        <v>77</v>
      </c>
      <c r="N45" t="s">
        <v>78</v>
      </c>
      <c r="O45" t="s">
        <v>74</v>
      </c>
      <c r="P45" t="s">
        <v>74</v>
      </c>
      <c r="Q45" t="s">
        <v>74</v>
      </c>
      <c r="R45" t="s">
        <v>74</v>
      </c>
      <c r="S45" t="s">
        <v>74</v>
      </c>
      <c r="T45" t="s">
        <v>74</v>
      </c>
      <c r="U45" t="s">
        <v>822</v>
      </c>
      <c r="V45" t="s">
        <v>823</v>
      </c>
      <c r="W45" t="s">
        <v>824</v>
      </c>
      <c r="X45" t="s">
        <v>825</v>
      </c>
      <c r="Y45" t="s">
        <v>826</v>
      </c>
      <c r="Z45" t="s">
        <v>827</v>
      </c>
      <c r="AA45" t="s">
        <v>828</v>
      </c>
      <c r="AB45" t="s">
        <v>829</v>
      </c>
      <c r="AC45" t="s">
        <v>74</v>
      </c>
      <c r="AD45" t="s">
        <v>74</v>
      </c>
      <c r="AE45" t="s">
        <v>74</v>
      </c>
      <c r="AF45" t="s">
        <v>74</v>
      </c>
      <c r="AG45">
        <v>20</v>
      </c>
      <c r="AH45">
        <v>43</v>
      </c>
      <c r="AI45">
        <v>43</v>
      </c>
      <c r="AJ45">
        <v>0</v>
      </c>
      <c r="AK45">
        <v>2</v>
      </c>
      <c r="AL45" t="s">
        <v>527</v>
      </c>
      <c r="AM45" t="s">
        <v>528</v>
      </c>
      <c r="AN45" t="s">
        <v>529</v>
      </c>
      <c r="AO45" t="s">
        <v>530</v>
      </c>
      <c r="AP45" t="s">
        <v>531</v>
      </c>
      <c r="AQ45" t="s">
        <v>74</v>
      </c>
      <c r="AR45" t="s">
        <v>532</v>
      </c>
      <c r="AS45" t="s">
        <v>533</v>
      </c>
      <c r="AT45" t="s">
        <v>830</v>
      </c>
      <c r="AU45">
        <v>2005</v>
      </c>
      <c r="AV45">
        <v>32</v>
      </c>
      <c r="AW45">
        <v>12</v>
      </c>
      <c r="AX45" t="s">
        <v>74</v>
      </c>
      <c r="AY45" t="s">
        <v>74</v>
      </c>
      <c r="AZ45" t="s">
        <v>74</v>
      </c>
      <c r="BA45" t="s">
        <v>74</v>
      </c>
      <c r="BB45" t="s">
        <v>74</v>
      </c>
      <c r="BC45" t="s">
        <v>74</v>
      </c>
      <c r="BD45" t="s">
        <v>831</v>
      </c>
      <c r="BE45" t="s">
        <v>832</v>
      </c>
      <c r="BF45" t="str">
        <f>HYPERLINK("http://dx.doi.org/10.1029/2005GL022712","http://dx.doi.org/10.1029/2005GL022712")</f>
        <v>http://dx.doi.org/10.1029/2005GL022712</v>
      </c>
      <c r="BG45" t="s">
        <v>74</v>
      </c>
      <c r="BH45" t="s">
        <v>74</v>
      </c>
      <c r="BI45">
        <v>4</v>
      </c>
      <c r="BJ45" t="s">
        <v>537</v>
      </c>
      <c r="BK45" t="s">
        <v>95</v>
      </c>
      <c r="BL45" t="s">
        <v>307</v>
      </c>
      <c r="BM45" t="s">
        <v>833</v>
      </c>
      <c r="BN45" t="s">
        <v>74</v>
      </c>
      <c r="BO45" t="s">
        <v>539</v>
      </c>
      <c r="BP45" t="s">
        <v>74</v>
      </c>
      <c r="BQ45" t="s">
        <v>74</v>
      </c>
      <c r="BR45" t="s">
        <v>97</v>
      </c>
      <c r="BS45" t="s">
        <v>834</v>
      </c>
      <c r="BT45" t="str">
        <f>HYPERLINK("https%3A%2F%2Fwww.webofscience.com%2Fwos%2Fwoscc%2Ffull-record%2FWOS:000229986600007","View Full Record in Web of Science")</f>
        <v>View Full Record in Web of Science</v>
      </c>
    </row>
    <row r="46" spans="1:72" x14ac:dyDescent="0.15">
      <c r="A46" t="s">
        <v>72</v>
      </c>
      <c r="B46" t="s">
        <v>835</v>
      </c>
      <c r="C46" t="s">
        <v>74</v>
      </c>
      <c r="D46" t="s">
        <v>74</v>
      </c>
      <c r="E46" t="s">
        <v>74</v>
      </c>
      <c r="F46" t="s">
        <v>835</v>
      </c>
      <c r="G46" t="s">
        <v>74</v>
      </c>
      <c r="H46" t="s">
        <v>74</v>
      </c>
      <c r="I46" t="s">
        <v>836</v>
      </c>
      <c r="J46" t="s">
        <v>837</v>
      </c>
      <c r="K46" t="s">
        <v>74</v>
      </c>
      <c r="L46" t="s">
        <v>74</v>
      </c>
      <c r="M46" t="s">
        <v>77</v>
      </c>
      <c r="N46" t="s">
        <v>78</v>
      </c>
      <c r="O46" t="s">
        <v>74</v>
      </c>
      <c r="P46" t="s">
        <v>74</v>
      </c>
      <c r="Q46" t="s">
        <v>74</v>
      </c>
      <c r="R46" t="s">
        <v>74</v>
      </c>
      <c r="S46" t="s">
        <v>74</v>
      </c>
      <c r="T46" t="s">
        <v>74</v>
      </c>
      <c r="U46" t="s">
        <v>838</v>
      </c>
      <c r="V46" t="s">
        <v>839</v>
      </c>
      <c r="W46" t="s">
        <v>840</v>
      </c>
      <c r="X46" t="s">
        <v>841</v>
      </c>
      <c r="Y46" t="s">
        <v>842</v>
      </c>
      <c r="Z46" t="s">
        <v>843</v>
      </c>
      <c r="AA46" t="s">
        <v>844</v>
      </c>
      <c r="AB46" t="s">
        <v>845</v>
      </c>
      <c r="AC46" t="s">
        <v>74</v>
      </c>
      <c r="AD46" t="s">
        <v>74</v>
      </c>
      <c r="AE46" t="s">
        <v>74</v>
      </c>
      <c r="AF46" t="s">
        <v>74</v>
      </c>
      <c r="AG46">
        <v>14</v>
      </c>
      <c r="AH46">
        <v>149</v>
      </c>
      <c r="AI46">
        <v>154</v>
      </c>
      <c r="AJ46">
        <v>0</v>
      </c>
      <c r="AK46">
        <v>15</v>
      </c>
      <c r="AL46" t="s">
        <v>527</v>
      </c>
      <c r="AM46" t="s">
        <v>528</v>
      </c>
      <c r="AN46" t="s">
        <v>529</v>
      </c>
      <c r="AO46" t="s">
        <v>846</v>
      </c>
      <c r="AP46" t="s">
        <v>847</v>
      </c>
      <c r="AQ46" t="s">
        <v>74</v>
      </c>
      <c r="AR46" t="s">
        <v>848</v>
      </c>
      <c r="AS46" t="s">
        <v>849</v>
      </c>
      <c r="AT46" t="s">
        <v>830</v>
      </c>
      <c r="AU46">
        <v>2005</v>
      </c>
      <c r="AV46">
        <v>110</v>
      </c>
      <c r="AW46" t="s">
        <v>850</v>
      </c>
      <c r="AX46" t="s">
        <v>74</v>
      </c>
      <c r="AY46" t="s">
        <v>74</v>
      </c>
      <c r="AZ46" t="s">
        <v>74</v>
      </c>
      <c r="BA46" t="s">
        <v>74</v>
      </c>
      <c r="BB46" t="s">
        <v>74</v>
      </c>
      <c r="BC46" t="s">
        <v>74</v>
      </c>
      <c r="BD46" t="s">
        <v>851</v>
      </c>
      <c r="BE46" t="s">
        <v>852</v>
      </c>
      <c r="BF46" t="str">
        <f>HYPERLINK("http://dx.doi.org/10.1029/2005JA011008","http://dx.doi.org/10.1029/2005JA011008")</f>
        <v>http://dx.doi.org/10.1029/2005JA011008</v>
      </c>
      <c r="BG46" t="s">
        <v>74</v>
      </c>
      <c r="BH46" t="s">
        <v>74</v>
      </c>
      <c r="BI46">
        <v>10</v>
      </c>
      <c r="BJ46" t="s">
        <v>853</v>
      </c>
      <c r="BK46" t="s">
        <v>95</v>
      </c>
      <c r="BL46" t="s">
        <v>853</v>
      </c>
      <c r="BM46" t="s">
        <v>854</v>
      </c>
      <c r="BN46" t="s">
        <v>74</v>
      </c>
      <c r="BO46" t="s">
        <v>855</v>
      </c>
      <c r="BP46" t="s">
        <v>74</v>
      </c>
      <c r="BQ46" t="s">
        <v>74</v>
      </c>
      <c r="BR46" t="s">
        <v>97</v>
      </c>
      <c r="BS46" t="s">
        <v>856</v>
      </c>
      <c r="BT46" t="str">
        <f>HYPERLINK("https%3A%2F%2Fwww.webofscience.com%2Fwos%2Fwoscc%2Ffull-record%2FWOS:000229993600001","View Full Record in Web of Science")</f>
        <v>View Full Record in Web of Science</v>
      </c>
    </row>
    <row r="47" spans="1:72" x14ac:dyDescent="0.15">
      <c r="A47" t="s">
        <v>72</v>
      </c>
      <c r="B47" t="s">
        <v>857</v>
      </c>
      <c r="C47" t="s">
        <v>74</v>
      </c>
      <c r="D47" t="s">
        <v>74</v>
      </c>
      <c r="E47" t="s">
        <v>74</v>
      </c>
      <c r="F47" t="s">
        <v>857</v>
      </c>
      <c r="G47" t="s">
        <v>74</v>
      </c>
      <c r="H47" t="s">
        <v>74</v>
      </c>
      <c r="I47" t="s">
        <v>858</v>
      </c>
      <c r="J47" t="s">
        <v>859</v>
      </c>
      <c r="K47" t="s">
        <v>74</v>
      </c>
      <c r="L47" t="s">
        <v>74</v>
      </c>
      <c r="M47" t="s">
        <v>77</v>
      </c>
      <c r="N47" t="s">
        <v>249</v>
      </c>
      <c r="O47" t="s">
        <v>74</v>
      </c>
      <c r="P47" t="s">
        <v>74</v>
      </c>
      <c r="Q47" t="s">
        <v>74</v>
      </c>
      <c r="R47" t="s">
        <v>74</v>
      </c>
      <c r="S47" t="s">
        <v>74</v>
      </c>
      <c r="T47" t="s">
        <v>74</v>
      </c>
      <c r="U47" t="s">
        <v>74</v>
      </c>
      <c r="V47" t="s">
        <v>74</v>
      </c>
      <c r="W47" t="s">
        <v>860</v>
      </c>
      <c r="X47" t="s">
        <v>861</v>
      </c>
      <c r="Y47" t="s">
        <v>862</v>
      </c>
      <c r="Z47" t="s">
        <v>74</v>
      </c>
      <c r="AA47" t="s">
        <v>74</v>
      </c>
      <c r="AB47" t="s">
        <v>74</v>
      </c>
      <c r="AC47" t="s">
        <v>74</v>
      </c>
      <c r="AD47" t="s">
        <v>74</v>
      </c>
      <c r="AE47" t="s">
        <v>74</v>
      </c>
      <c r="AF47" t="s">
        <v>74</v>
      </c>
      <c r="AG47">
        <v>4</v>
      </c>
      <c r="AH47">
        <v>45</v>
      </c>
      <c r="AI47">
        <v>49</v>
      </c>
      <c r="AJ47">
        <v>2</v>
      </c>
      <c r="AK47">
        <v>31</v>
      </c>
      <c r="AL47" t="s">
        <v>863</v>
      </c>
      <c r="AM47" t="s">
        <v>739</v>
      </c>
      <c r="AN47" t="s">
        <v>864</v>
      </c>
      <c r="AO47" t="s">
        <v>865</v>
      </c>
      <c r="AP47" t="s">
        <v>74</v>
      </c>
      <c r="AQ47" t="s">
        <v>74</v>
      </c>
      <c r="AR47" t="s">
        <v>859</v>
      </c>
      <c r="AS47" t="s">
        <v>866</v>
      </c>
      <c r="AT47" t="s">
        <v>867</v>
      </c>
      <c r="AU47">
        <v>2005</v>
      </c>
      <c r="AV47">
        <v>435</v>
      </c>
      <c r="AW47">
        <v>7044</v>
      </c>
      <c r="AX47" t="s">
        <v>74</v>
      </c>
      <c r="AY47" t="s">
        <v>74</v>
      </c>
      <c r="AZ47" t="s">
        <v>74</v>
      </c>
      <c r="BA47" t="s">
        <v>74</v>
      </c>
      <c r="BB47">
        <v>883</v>
      </c>
      <c r="BC47">
        <v>884</v>
      </c>
      <c r="BD47" t="s">
        <v>74</v>
      </c>
      <c r="BE47" t="s">
        <v>868</v>
      </c>
      <c r="BF47" t="str">
        <f>HYPERLINK("http://dx.doi.org/10.1038/435883a","http://dx.doi.org/10.1038/435883a")</f>
        <v>http://dx.doi.org/10.1038/435883a</v>
      </c>
      <c r="BG47" t="s">
        <v>74</v>
      </c>
      <c r="BH47" t="s">
        <v>74</v>
      </c>
      <c r="BI47">
        <v>2</v>
      </c>
      <c r="BJ47" t="s">
        <v>682</v>
      </c>
      <c r="BK47" t="s">
        <v>95</v>
      </c>
      <c r="BL47" t="s">
        <v>683</v>
      </c>
      <c r="BM47" t="s">
        <v>869</v>
      </c>
      <c r="BN47">
        <v>15959491</v>
      </c>
      <c r="BO47" t="s">
        <v>143</v>
      </c>
      <c r="BP47" t="s">
        <v>74</v>
      </c>
      <c r="BQ47" t="s">
        <v>74</v>
      </c>
      <c r="BR47" t="s">
        <v>97</v>
      </c>
      <c r="BS47" t="s">
        <v>870</v>
      </c>
      <c r="BT47" t="str">
        <f>HYPERLINK("https%3A%2F%2Fwww.webofscience.com%2Fwos%2Fwoscc%2Ffull-record%2FWOS:000229799700020","View Full Record in Web of Science")</f>
        <v>View Full Record in Web of Science</v>
      </c>
    </row>
    <row r="48" spans="1:72" x14ac:dyDescent="0.15">
      <c r="A48" t="s">
        <v>72</v>
      </c>
      <c r="B48" t="s">
        <v>871</v>
      </c>
      <c r="C48" t="s">
        <v>74</v>
      </c>
      <c r="D48" t="s">
        <v>74</v>
      </c>
      <c r="E48" t="s">
        <v>74</v>
      </c>
      <c r="F48" t="s">
        <v>871</v>
      </c>
      <c r="G48" t="s">
        <v>74</v>
      </c>
      <c r="H48" t="s">
        <v>74</v>
      </c>
      <c r="I48" t="s">
        <v>872</v>
      </c>
      <c r="J48" t="s">
        <v>873</v>
      </c>
      <c r="K48" t="s">
        <v>74</v>
      </c>
      <c r="L48" t="s">
        <v>74</v>
      </c>
      <c r="M48" t="s">
        <v>77</v>
      </c>
      <c r="N48" t="s">
        <v>78</v>
      </c>
      <c r="O48" t="s">
        <v>74</v>
      </c>
      <c r="P48" t="s">
        <v>74</v>
      </c>
      <c r="Q48" t="s">
        <v>74</v>
      </c>
      <c r="R48" t="s">
        <v>74</v>
      </c>
      <c r="S48" t="s">
        <v>74</v>
      </c>
      <c r="T48" t="s">
        <v>874</v>
      </c>
      <c r="U48" t="s">
        <v>875</v>
      </c>
      <c r="V48" t="s">
        <v>876</v>
      </c>
      <c r="W48" t="s">
        <v>877</v>
      </c>
      <c r="X48" t="s">
        <v>878</v>
      </c>
      <c r="Y48" t="s">
        <v>879</v>
      </c>
      <c r="Z48" t="s">
        <v>880</v>
      </c>
      <c r="AA48" t="s">
        <v>881</v>
      </c>
      <c r="AB48" t="s">
        <v>882</v>
      </c>
      <c r="AC48" t="s">
        <v>74</v>
      </c>
      <c r="AD48" t="s">
        <v>74</v>
      </c>
      <c r="AE48" t="s">
        <v>74</v>
      </c>
      <c r="AF48" t="s">
        <v>74</v>
      </c>
      <c r="AG48">
        <v>64</v>
      </c>
      <c r="AH48">
        <v>132</v>
      </c>
      <c r="AI48">
        <v>138</v>
      </c>
      <c r="AJ48">
        <v>0</v>
      </c>
      <c r="AK48">
        <v>36</v>
      </c>
      <c r="AL48" t="s">
        <v>456</v>
      </c>
      <c r="AM48" t="s">
        <v>436</v>
      </c>
      <c r="AN48" t="s">
        <v>457</v>
      </c>
      <c r="AO48" t="s">
        <v>883</v>
      </c>
      <c r="AP48" t="s">
        <v>74</v>
      </c>
      <c r="AQ48" t="s">
        <v>74</v>
      </c>
      <c r="AR48" t="s">
        <v>884</v>
      </c>
      <c r="AS48" t="s">
        <v>885</v>
      </c>
      <c r="AT48" t="s">
        <v>886</v>
      </c>
      <c r="AU48">
        <v>2005</v>
      </c>
      <c r="AV48">
        <v>219</v>
      </c>
      <c r="AW48" t="s">
        <v>887</v>
      </c>
      <c r="AX48" t="s">
        <v>74</v>
      </c>
      <c r="AY48" t="s">
        <v>74</v>
      </c>
      <c r="AZ48" t="s">
        <v>74</v>
      </c>
      <c r="BA48" t="s">
        <v>74</v>
      </c>
      <c r="BB48">
        <v>193</v>
      </c>
      <c r="BC48">
        <v>235</v>
      </c>
      <c r="BD48" t="s">
        <v>74</v>
      </c>
      <c r="BE48" t="s">
        <v>888</v>
      </c>
      <c r="BF48" t="str">
        <f>HYPERLINK("http://dx.doi.org/10.1016/j.chemgeo.2005.02.002","http://dx.doi.org/10.1016/j.chemgeo.2005.02.002")</f>
        <v>http://dx.doi.org/10.1016/j.chemgeo.2005.02.002</v>
      </c>
      <c r="BG48" t="s">
        <v>74</v>
      </c>
      <c r="BH48" t="s">
        <v>74</v>
      </c>
      <c r="BI48">
        <v>43</v>
      </c>
      <c r="BJ48" t="s">
        <v>381</v>
      </c>
      <c r="BK48" t="s">
        <v>95</v>
      </c>
      <c r="BL48" t="s">
        <v>381</v>
      </c>
      <c r="BM48" t="s">
        <v>889</v>
      </c>
      <c r="BN48" t="s">
        <v>74</v>
      </c>
      <c r="BO48" t="s">
        <v>74</v>
      </c>
      <c r="BP48" t="s">
        <v>74</v>
      </c>
      <c r="BQ48" t="s">
        <v>74</v>
      </c>
      <c r="BR48" t="s">
        <v>97</v>
      </c>
      <c r="BS48" t="s">
        <v>890</v>
      </c>
      <c r="BT48" t="str">
        <f>HYPERLINK("https%3A%2F%2Fwww.webofscience.com%2Fwos%2Fwoscc%2Ffull-record%2FWOS:000229873500012","View Full Record in Web of Science")</f>
        <v>View Full Record in Web of Science</v>
      </c>
    </row>
    <row r="49" spans="1:72" x14ac:dyDescent="0.15">
      <c r="A49" t="s">
        <v>72</v>
      </c>
      <c r="B49" t="s">
        <v>891</v>
      </c>
      <c r="C49" t="s">
        <v>74</v>
      </c>
      <c r="D49" t="s">
        <v>74</v>
      </c>
      <c r="E49" t="s">
        <v>74</v>
      </c>
      <c r="F49" t="s">
        <v>891</v>
      </c>
      <c r="G49" t="s">
        <v>74</v>
      </c>
      <c r="H49" t="s">
        <v>74</v>
      </c>
      <c r="I49" t="s">
        <v>892</v>
      </c>
      <c r="J49" t="s">
        <v>893</v>
      </c>
      <c r="K49" t="s">
        <v>74</v>
      </c>
      <c r="L49" t="s">
        <v>74</v>
      </c>
      <c r="M49" t="s">
        <v>77</v>
      </c>
      <c r="N49" t="s">
        <v>78</v>
      </c>
      <c r="O49" t="s">
        <v>74</v>
      </c>
      <c r="P49" t="s">
        <v>74</v>
      </c>
      <c r="Q49" t="s">
        <v>74</v>
      </c>
      <c r="R49" t="s">
        <v>74</v>
      </c>
      <c r="S49" t="s">
        <v>74</v>
      </c>
      <c r="T49" t="s">
        <v>74</v>
      </c>
      <c r="U49" t="s">
        <v>894</v>
      </c>
      <c r="V49" t="s">
        <v>895</v>
      </c>
      <c r="W49" t="s">
        <v>896</v>
      </c>
      <c r="X49" t="s">
        <v>897</v>
      </c>
      <c r="Y49" t="s">
        <v>898</v>
      </c>
      <c r="Z49" t="s">
        <v>899</v>
      </c>
      <c r="AA49" t="s">
        <v>900</v>
      </c>
      <c r="AB49" t="s">
        <v>901</v>
      </c>
      <c r="AC49" t="s">
        <v>74</v>
      </c>
      <c r="AD49" t="s">
        <v>74</v>
      </c>
      <c r="AE49" t="s">
        <v>74</v>
      </c>
      <c r="AF49" t="s">
        <v>74</v>
      </c>
      <c r="AG49">
        <v>20</v>
      </c>
      <c r="AH49">
        <v>31</v>
      </c>
      <c r="AI49">
        <v>36</v>
      </c>
      <c r="AJ49">
        <v>0</v>
      </c>
      <c r="AK49">
        <v>3</v>
      </c>
      <c r="AL49" t="s">
        <v>902</v>
      </c>
      <c r="AM49" t="s">
        <v>903</v>
      </c>
      <c r="AN49" t="s">
        <v>904</v>
      </c>
      <c r="AO49" t="s">
        <v>905</v>
      </c>
      <c r="AP49" t="s">
        <v>906</v>
      </c>
      <c r="AQ49" t="s">
        <v>74</v>
      </c>
      <c r="AR49" t="s">
        <v>907</v>
      </c>
      <c r="AS49" t="s">
        <v>908</v>
      </c>
      <c r="AT49" t="s">
        <v>886</v>
      </c>
      <c r="AU49">
        <v>2005</v>
      </c>
      <c r="AV49">
        <v>18</v>
      </c>
      <c r="AW49">
        <v>12</v>
      </c>
      <c r="AX49" t="s">
        <v>74</v>
      </c>
      <c r="AY49" t="s">
        <v>74</v>
      </c>
      <c r="AZ49" t="s">
        <v>74</v>
      </c>
      <c r="BA49" t="s">
        <v>74</v>
      </c>
      <c r="BB49">
        <v>1957</v>
      </c>
      <c r="BC49">
        <v>1966</v>
      </c>
      <c r="BD49" t="s">
        <v>74</v>
      </c>
      <c r="BE49" t="s">
        <v>909</v>
      </c>
      <c r="BF49" t="str">
        <f>HYPERLINK("http://dx.doi.org/10.1175/JCLI3376.1","http://dx.doi.org/10.1175/JCLI3376.1")</f>
        <v>http://dx.doi.org/10.1175/JCLI3376.1</v>
      </c>
      <c r="BG49" t="s">
        <v>74</v>
      </c>
      <c r="BH49" t="s">
        <v>74</v>
      </c>
      <c r="BI49">
        <v>10</v>
      </c>
      <c r="BJ49" t="s">
        <v>401</v>
      </c>
      <c r="BK49" t="s">
        <v>95</v>
      </c>
      <c r="BL49" t="s">
        <v>401</v>
      </c>
      <c r="BM49" t="s">
        <v>910</v>
      </c>
      <c r="BN49" t="s">
        <v>74</v>
      </c>
      <c r="BO49" t="s">
        <v>539</v>
      </c>
      <c r="BP49" t="s">
        <v>74</v>
      </c>
      <c r="BQ49" t="s">
        <v>74</v>
      </c>
      <c r="BR49" t="s">
        <v>97</v>
      </c>
      <c r="BS49" t="s">
        <v>911</v>
      </c>
      <c r="BT49" t="str">
        <f>HYPERLINK("https%3A%2F%2Fwww.webofscience.com%2Fwos%2Fwoscc%2Ffull-record%2FWOS:000230199600007","View Full Record in Web of Science")</f>
        <v>View Full Record in Web of Science</v>
      </c>
    </row>
    <row r="50" spans="1:72" x14ac:dyDescent="0.15">
      <c r="A50" t="s">
        <v>72</v>
      </c>
      <c r="B50" t="s">
        <v>912</v>
      </c>
      <c r="C50" t="s">
        <v>74</v>
      </c>
      <c r="D50" t="s">
        <v>74</v>
      </c>
      <c r="E50" t="s">
        <v>74</v>
      </c>
      <c r="F50" t="s">
        <v>912</v>
      </c>
      <c r="G50" t="s">
        <v>74</v>
      </c>
      <c r="H50" t="s">
        <v>74</v>
      </c>
      <c r="I50" t="s">
        <v>913</v>
      </c>
      <c r="J50" t="s">
        <v>893</v>
      </c>
      <c r="K50" t="s">
        <v>74</v>
      </c>
      <c r="L50" t="s">
        <v>74</v>
      </c>
      <c r="M50" t="s">
        <v>77</v>
      </c>
      <c r="N50" t="s">
        <v>78</v>
      </c>
      <c r="O50" t="s">
        <v>74</v>
      </c>
      <c r="P50" t="s">
        <v>74</v>
      </c>
      <c r="Q50" t="s">
        <v>74</v>
      </c>
      <c r="R50" t="s">
        <v>74</v>
      </c>
      <c r="S50" t="s">
        <v>74</v>
      </c>
      <c r="T50" t="s">
        <v>74</v>
      </c>
      <c r="U50" t="s">
        <v>914</v>
      </c>
      <c r="V50" t="s">
        <v>915</v>
      </c>
      <c r="W50" t="s">
        <v>916</v>
      </c>
      <c r="X50" t="s">
        <v>917</v>
      </c>
      <c r="Y50" t="s">
        <v>918</v>
      </c>
      <c r="Z50" t="s">
        <v>919</v>
      </c>
      <c r="AA50" t="s">
        <v>920</v>
      </c>
      <c r="AB50" t="s">
        <v>921</v>
      </c>
      <c r="AC50" t="s">
        <v>74</v>
      </c>
      <c r="AD50" t="s">
        <v>74</v>
      </c>
      <c r="AE50" t="s">
        <v>74</v>
      </c>
      <c r="AF50" t="s">
        <v>74</v>
      </c>
      <c r="AG50">
        <v>42</v>
      </c>
      <c r="AH50">
        <v>34</v>
      </c>
      <c r="AI50">
        <v>37</v>
      </c>
      <c r="AJ50">
        <v>2</v>
      </c>
      <c r="AK50">
        <v>8</v>
      </c>
      <c r="AL50" t="s">
        <v>902</v>
      </c>
      <c r="AM50" t="s">
        <v>903</v>
      </c>
      <c r="AN50" t="s">
        <v>922</v>
      </c>
      <c r="AO50" t="s">
        <v>905</v>
      </c>
      <c r="AP50" t="s">
        <v>906</v>
      </c>
      <c r="AQ50" t="s">
        <v>74</v>
      </c>
      <c r="AR50" t="s">
        <v>907</v>
      </c>
      <c r="AS50" t="s">
        <v>908</v>
      </c>
      <c r="AT50" t="s">
        <v>886</v>
      </c>
      <c r="AU50">
        <v>2005</v>
      </c>
      <c r="AV50">
        <v>18</v>
      </c>
      <c r="AW50">
        <v>12</v>
      </c>
      <c r="AX50" t="s">
        <v>74</v>
      </c>
      <c r="AY50" t="s">
        <v>74</v>
      </c>
      <c r="AZ50" t="s">
        <v>74</v>
      </c>
      <c r="BA50" t="s">
        <v>74</v>
      </c>
      <c r="BB50">
        <v>2052</v>
      </c>
      <c r="BC50">
        <v>2066</v>
      </c>
      <c r="BD50" t="s">
        <v>74</v>
      </c>
      <c r="BE50" t="s">
        <v>923</v>
      </c>
      <c r="BF50" t="str">
        <f>HYPERLINK("http://dx.doi.org/10.1175/JCLI3396.1","http://dx.doi.org/10.1175/JCLI3396.1")</f>
        <v>http://dx.doi.org/10.1175/JCLI3396.1</v>
      </c>
      <c r="BG50" t="s">
        <v>74</v>
      </c>
      <c r="BH50" t="s">
        <v>74</v>
      </c>
      <c r="BI50">
        <v>15</v>
      </c>
      <c r="BJ50" t="s">
        <v>401</v>
      </c>
      <c r="BK50" t="s">
        <v>95</v>
      </c>
      <c r="BL50" t="s">
        <v>401</v>
      </c>
      <c r="BM50" t="s">
        <v>910</v>
      </c>
      <c r="BN50" t="s">
        <v>74</v>
      </c>
      <c r="BO50" t="s">
        <v>74</v>
      </c>
      <c r="BP50" t="s">
        <v>74</v>
      </c>
      <c r="BQ50" t="s">
        <v>74</v>
      </c>
      <c r="BR50" t="s">
        <v>97</v>
      </c>
      <c r="BS50" t="s">
        <v>924</v>
      </c>
      <c r="BT50" t="str">
        <f>HYPERLINK("https%3A%2F%2Fwww.webofscience.com%2Fwos%2Fwoscc%2Ffull-record%2FWOS:000230199600013","View Full Record in Web of Science")</f>
        <v>View Full Record in Web of Science</v>
      </c>
    </row>
    <row r="51" spans="1:72" x14ac:dyDescent="0.15">
      <c r="A51" t="s">
        <v>72</v>
      </c>
      <c r="B51" t="s">
        <v>925</v>
      </c>
      <c r="C51" t="s">
        <v>74</v>
      </c>
      <c r="D51" t="s">
        <v>74</v>
      </c>
      <c r="E51" t="s">
        <v>74</v>
      </c>
      <c r="F51" t="s">
        <v>925</v>
      </c>
      <c r="G51" t="s">
        <v>74</v>
      </c>
      <c r="H51" t="s">
        <v>74</v>
      </c>
      <c r="I51" t="s">
        <v>926</v>
      </c>
      <c r="J51" t="s">
        <v>927</v>
      </c>
      <c r="K51" t="s">
        <v>74</v>
      </c>
      <c r="L51" t="s">
        <v>74</v>
      </c>
      <c r="M51" t="s">
        <v>77</v>
      </c>
      <c r="N51" t="s">
        <v>78</v>
      </c>
      <c r="O51" t="s">
        <v>74</v>
      </c>
      <c r="P51" t="s">
        <v>74</v>
      </c>
      <c r="Q51" t="s">
        <v>74</v>
      </c>
      <c r="R51" t="s">
        <v>74</v>
      </c>
      <c r="S51" t="s">
        <v>74</v>
      </c>
      <c r="T51" t="s">
        <v>928</v>
      </c>
      <c r="U51" t="s">
        <v>929</v>
      </c>
      <c r="V51" t="s">
        <v>930</v>
      </c>
      <c r="W51" t="s">
        <v>931</v>
      </c>
      <c r="X51" t="s">
        <v>932</v>
      </c>
      <c r="Y51" t="s">
        <v>933</v>
      </c>
      <c r="Z51" t="s">
        <v>934</v>
      </c>
      <c r="AA51" t="s">
        <v>935</v>
      </c>
      <c r="AB51" t="s">
        <v>74</v>
      </c>
      <c r="AC51" t="s">
        <v>74</v>
      </c>
      <c r="AD51" t="s">
        <v>74</v>
      </c>
      <c r="AE51" t="s">
        <v>74</v>
      </c>
      <c r="AF51" t="s">
        <v>74</v>
      </c>
      <c r="AG51">
        <v>34</v>
      </c>
      <c r="AH51">
        <v>41</v>
      </c>
      <c r="AI51">
        <v>45</v>
      </c>
      <c r="AJ51">
        <v>0</v>
      </c>
      <c r="AK51">
        <v>53</v>
      </c>
      <c r="AL51" t="s">
        <v>435</v>
      </c>
      <c r="AM51" t="s">
        <v>436</v>
      </c>
      <c r="AN51" t="s">
        <v>437</v>
      </c>
      <c r="AO51" t="s">
        <v>936</v>
      </c>
      <c r="AP51" t="s">
        <v>937</v>
      </c>
      <c r="AQ51" t="s">
        <v>74</v>
      </c>
      <c r="AR51" t="s">
        <v>938</v>
      </c>
      <c r="AS51" t="s">
        <v>939</v>
      </c>
      <c r="AT51" t="s">
        <v>886</v>
      </c>
      <c r="AU51">
        <v>2005</v>
      </c>
      <c r="AV51">
        <v>320</v>
      </c>
      <c r="AW51">
        <v>1</v>
      </c>
      <c r="AX51" t="s">
        <v>74</v>
      </c>
      <c r="AY51" t="s">
        <v>74</v>
      </c>
      <c r="AZ51" t="s">
        <v>74</v>
      </c>
      <c r="BA51" t="s">
        <v>74</v>
      </c>
      <c r="BB51">
        <v>77</v>
      </c>
      <c r="BC51">
        <v>91</v>
      </c>
      <c r="BD51" t="s">
        <v>74</v>
      </c>
      <c r="BE51" t="s">
        <v>940</v>
      </c>
      <c r="BF51" t="str">
        <f>HYPERLINK("http://dx.doi.org/10.1016/j.jembe.2004.12.040","http://dx.doi.org/10.1016/j.jembe.2004.12.040")</f>
        <v>http://dx.doi.org/10.1016/j.jembe.2004.12.040</v>
      </c>
      <c r="BG51" t="s">
        <v>74</v>
      </c>
      <c r="BH51" t="s">
        <v>74</v>
      </c>
      <c r="BI51">
        <v>15</v>
      </c>
      <c r="BJ51" t="s">
        <v>941</v>
      </c>
      <c r="BK51" t="s">
        <v>95</v>
      </c>
      <c r="BL51" t="s">
        <v>942</v>
      </c>
      <c r="BM51" t="s">
        <v>943</v>
      </c>
      <c r="BN51" t="s">
        <v>74</v>
      </c>
      <c r="BO51" t="s">
        <v>74</v>
      </c>
      <c r="BP51" t="s">
        <v>74</v>
      </c>
      <c r="BQ51" t="s">
        <v>74</v>
      </c>
      <c r="BR51" t="s">
        <v>97</v>
      </c>
      <c r="BS51" t="s">
        <v>944</v>
      </c>
      <c r="BT51" t="str">
        <f>HYPERLINK("https%3A%2F%2Fwww.webofscience.com%2Fwos%2Fwoscc%2Ffull-record%2FWOS:000229877000006","View Full Record in Web of Science")</f>
        <v>View Full Record in Web of Science</v>
      </c>
    </row>
    <row r="52" spans="1:72" x14ac:dyDescent="0.15">
      <c r="A52" t="s">
        <v>72</v>
      </c>
      <c r="B52" t="s">
        <v>945</v>
      </c>
      <c r="C52" t="s">
        <v>74</v>
      </c>
      <c r="D52" t="s">
        <v>74</v>
      </c>
      <c r="E52" t="s">
        <v>74</v>
      </c>
      <c r="F52" t="s">
        <v>945</v>
      </c>
      <c r="G52" t="s">
        <v>74</v>
      </c>
      <c r="H52" t="s">
        <v>74</v>
      </c>
      <c r="I52" t="s">
        <v>946</v>
      </c>
      <c r="J52" t="s">
        <v>947</v>
      </c>
      <c r="K52" t="s">
        <v>74</v>
      </c>
      <c r="L52" t="s">
        <v>74</v>
      </c>
      <c r="M52" t="s">
        <v>77</v>
      </c>
      <c r="N52" t="s">
        <v>78</v>
      </c>
      <c r="O52" t="s">
        <v>74</v>
      </c>
      <c r="P52" t="s">
        <v>74</v>
      </c>
      <c r="Q52" t="s">
        <v>74</v>
      </c>
      <c r="R52" t="s">
        <v>74</v>
      </c>
      <c r="S52" t="s">
        <v>74</v>
      </c>
      <c r="T52" t="s">
        <v>948</v>
      </c>
      <c r="U52" t="s">
        <v>949</v>
      </c>
      <c r="V52" t="s">
        <v>950</v>
      </c>
      <c r="W52" t="s">
        <v>951</v>
      </c>
      <c r="X52" t="s">
        <v>952</v>
      </c>
      <c r="Y52" t="s">
        <v>953</v>
      </c>
      <c r="Z52" t="s">
        <v>954</v>
      </c>
      <c r="AA52" t="s">
        <v>955</v>
      </c>
      <c r="AB52" t="s">
        <v>956</v>
      </c>
      <c r="AC52" t="s">
        <v>74</v>
      </c>
      <c r="AD52" t="s">
        <v>74</v>
      </c>
      <c r="AE52" t="s">
        <v>74</v>
      </c>
      <c r="AF52" t="s">
        <v>74</v>
      </c>
      <c r="AG52">
        <v>74</v>
      </c>
      <c r="AH52">
        <v>302</v>
      </c>
      <c r="AI52">
        <v>337</v>
      </c>
      <c r="AJ52">
        <v>0</v>
      </c>
      <c r="AK52">
        <v>57</v>
      </c>
      <c r="AL52" t="s">
        <v>435</v>
      </c>
      <c r="AM52" t="s">
        <v>436</v>
      </c>
      <c r="AN52" t="s">
        <v>437</v>
      </c>
      <c r="AO52" t="s">
        <v>957</v>
      </c>
      <c r="AP52" t="s">
        <v>958</v>
      </c>
      <c r="AQ52" t="s">
        <v>74</v>
      </c>
      <c r="AR52" t="s">
        <v>959</v>
      </c>
      <c r="AS52" t="s">
        <v>960</v>
      </c>
      <c r="AT52" t="s">
        <v>886</v>
      </c>
      <c r="AU52">
        <v>2005</v>
      </c>
      <c r="AV52">
        <v>217</v>
      </c>
      <c r="AW52" t="s">
        <v>961</v>
      </c>
      <c r="AX52" t="s">
        <v>74</v>
      </c>
      <c r="AY52" t="s">
        <v>74</v>
      </c>
      <c r="AZ52" t="s">
        <v>74</v>
      </c>
      <c r="BA52" t="s">
        <v>74</v>
      </c>
      <c r="BB52">
        <v>215</v>
      </c>
      <c r="BC52">
        <v>231</v>
      </c>
      <c r="BD52" t="s">
        <v>74</v>
      </c>
      <c r="BE52" t="s">
        <v>962</v>
      </c>
      <c r="BF52" t="str">
        <f>HYPERLINK("http://dx.doi.org/10.1016/j.margeo.2005.02.007","http://dx.doi.org/10.1016/j.margeo.2005.02.007")</f>
        <v>http://dx.doi.org/10.1016/j.margeo.2005.02.007</v>
      </c>
      <c r="BG52" t="s">
        <v>74</v>
      </c>
      <c r="BH52" t="s">
        <v>74</v>
      </c>
      <c r="BI52">
        <v>17</v>
      </c>
      <c r="BJ52" t="s">
        <v>963</v>
      </c>
      <c r="BK52" t="s">
        <v>95</v>
      </c>
      <c r="BL52" t="s">
        <v>964</v>
      </c>
      <c r="BM52" t="s">
        <v>965</v>
      </c>
      <c r="BN52" t="s">
        <v>74</v>
      </c>
      <c r="BO52" t="s">
        <v>74</v>
      </c>
      <c r="BP52" t="s">
        <v>74</v>
      </c>
      <c r="BQ52" t="s">
        <v>74</v>
      </c>
      <c r="BR52" t="s">
        <v>97</v>
      </c>
      <c r="BS52" t="s">
        <v>966</v>
      </c>
      <c r="BT52" t="str">
        <f>HYPERLINK("https%3A%2F%2Fwww.webofscience.com%2Fwos%2Fwoscc%2Ffull-record%2FWOS:000229997500003","View Full Record in Web of Science")</f>
        <v>View Full Record in Web of Science</v>
      </c>
    </row>
    <row r="53" spans="1:72" x14ac:dyDescent="0.15">
      <c r="A53" t="s">
        <v>72</v>
      </c>
      <c r="B53" t="s">
        <v>967</v>
      </c>
      <c r="C53" t="s">
        <v>74</v>
      </c>
      <c r="D53" t="s">
        <v>74</v>
      </c>
      <c r="E53" t="s">
        <v>74</v>
      </c>
      <c r="F53" t="s">
        <v>967</v>
      </c>
      <c r="G53" t="s">
        <v>74</v>
      </c>
      <c r="H53" t="s">
        <v>968</v>
      </c>
      <c r="I53" t="s">
        <v>969</v>
      </c>
      <c r="J53" t="s">
        <v>970</v>
      </c>
      <c r="K53" t="s">
        <v>74</v>
      </c>
      <c r="L53" t="s">
        <v>74</v>
      </c>
      <c r="M53" t="s">
        <v>77</v>
      </c>
      <c r="N53" t="s">
        <v>495</v>
      </c>
      <c r="O53" t="s">
        <v>971</v>
      </c>
      <c r="P53" t="s">
        <v>972</v>
      </c>
      <c r="Q53" t="s">
        <v>973</v>
      </c>
      <c r="R53" t="s">
        <v>74</v>
      </c>
      <c r="S53" t="s">
        <v>974</v>
      </c>
      <c r="T53" t="s">
        <v>975</v>
      </c>
      <c r="U53" t="s">
        <v>74</v>
      </c>
      <c r="V53" t="s">
        <v>976</v>
      </c>
      <c r="W53" t="s">
        <v>977</v>
      </c>
      <c r="X53" t="s">
        <v>978</v>
      </c>
      <c r="Y53" t="s">
        <v>979</v>
      </c>
      <c r="Z53" t="s">
        <v>74</v>
      </c>
      <c r="AA53" t="s">
        <v>74</v>
      </c>
      <c r="AB53" t="s">
        <v>74</v>
      </c>
      <c r="AC53" t="s">
        <v>74</v>
      </c>
      <c r="AD53" t="s">
        <v>74</v>
      </c>
      <c r="AE53" t="s">
        <v>74</v>
      </c>
      <c r="AF53" t="s">
        <v>74</v>
      </c>
      <c r="AG53">
        <v>6</v>
      </c>
      <c r="AH53">
        <v>5</v>
      </c>
      <c r="AI53">
        <v>7</v>
      </c>
      <c r="AJ53">
        <v>0</v>
      </c>
      <c r="AK53">
        <v>8</v>
      </c>
      <c r="AL53" t="s">
        <v>980</v>
      </c>
      <c r="AM53" t="s">
        <v>981</v>
      </c>
      <c r="AN53" t="s">
        <v>982</v>
      </c>
      <c r="AO53" t="s">
        <v>983</v>
      </c>
      <c r="AP53" t="s">
        <v>74</v>
      </c>
      <c r="AQ53" t="s">
        <v>74</v>
      </c>
      <c r="AR53" t="s">
        <v>984</v>
      </c>
      <c r="AS53" t="s">
        <v>985</v>
      </c>
      <c r="AT53" t="s">
        <v>986</v>
      </c>
      <c r="AU53">
        <v>2005</v>
      </c>
      <c r="AV53">
        <v>20</v>
      </c>
      <c r="AW53">
        <v>14</v>
      </c>
      <c r="AX53" t="s">
        <v>74</v>
      </c>
      <c r="AY53" t="s">
        <v>74</v>
      </c>
      <c r="AZ53" t="s">
        <v>74</v>
      </c>
      <c r="BA53" t="s">
        <v>74</v>
      </c>
      <c r="BB53">
        <v>3096</v>
      </c>
      <c r="BC53">
        <v>3098</v>
      </c>
      <c r="BD53" t="s">
        <v>74</v>
      </c>
      <c r="BE53" t="s">
        <v>987</v>
      </c>
      <c r="BF53" t="str">
        <f>HYPERLINK("http://dx.doi.org/10.1142/S0217751X05025838","http://dx.doi.org/10.1142/S0217751X05025838")</f>
        <v>http://dx.doi.org/10.1142/S0217751X05025838</v>
      </c>
      <c r="BG53" t="s">
        <v>74</v>
      </c>
      <c r="BH53" t="s">
        <v>74</v>
      </c>
      <c r="BI53">
        <v>3</v>
      </c>
      <c r="BJ53" t="s">
        <v>988</v>
      </c>
      <c r="BK53" t="s">
        <v>989</v>
      </c>
      <c r="BL53" t="s">
        <v>990</v>
      </c>
      <c r="BM53" t="s">
        <v>991</v>
      </c>
      <c r="BN53" t="s">
        <v>74</v>
      </c>
      <c r="BO53" t="s">
        <v>74</v>
      </c>
      <c r="BP53" t="s">
        <v>74</v>
      </c>
      <c r="BQ53" t="s">
        <v>74</v>
      </c>
      <c r="BR53" t="s">
        <v>97</v>
      </c>
      <c r="BS53" t="s">
        <v>992</v>
      </c>
      <c r="BT53" t="str">
        <f>HYPERLINK("https%3A%2F%2Fwww.webofscience.com%2Fwos%2Fwoscc%2Ffull-record%2FWOS:000230993900025","View Full Record in Web of Science")</f>
        <v>View Full Record in Web of Science</v>
      </c>
    </row>
    <row r="54" spans="1:72" x14ac:dyDescent="0.15">
      <c r="A54" t="s">
        <v>72</v>
      </c>
      <c r="B54" t="s">
        <v>993</v>
      </c>
      <c r="C54" t="s">
        <v>74</v>
      </c>
      <c r="D54" t="s">
        <v>74</v>
      </c>
      <c r="E54" t="s">
        <v>74</v>
      </c>
      <c r="F54" t="s">
        <v>993</v>
      </c>
      <c r="G54" t="s">
        <v>74</v>
      </c>
      <c r="H54" t="s">
        <v>74</v>
      </c>
      <c r="I54" t="s">
        <v>994</v>
      </c>
      <c r="J54" t="s">
        <v>995</v>
      </c>
      <c r="K54" t="s">
        <v>74</v>
      </c>
      <c r="L54" t="s">
        <v>74</v>
      </c>
      <c r="M54" t="s">
        <v>77</v>
      </c>
      <c r="N54" t="s">
        <v>78</v>
      </c>
      <c r="O54" t="s">
        <v>74</v>
      </c>
      <c r="P54" t="s">
        <v>74</v>
      </c>
      <c r="Q54" t="s">
        <v>74</v>
      </c>
      <c r="R54" t="s">
        <v>74</v>
      </c>
      <c r="S54" t="s">
        <v>74</v>
      </c>
      <c r="T54" t="s">
        <v>996</v>
      </c>
      <c r="U54" t="s">
        <v>997</v>
      </c>
      <c r="V54" t="s">
        <v>998</v>
      </c>
      <c r="W54" t="s">
        <v>999</v>
      </c>
      <c r="X54" t="s">
        <v>1000</v>
      </c>
      <c r="Y54" t="s">
        <v>1001</v>
      </c>
      <c r="Z54" t="s">
        <v>1002</v>
      </c>
      <c r="AA54" t="s">
        <v>1003</v>
      </c>
      <c r="AB54" t="s">
        <v>1004</v>
      </c>
      <c r="AC54" t="s">
        <v>74</v>
      </c>
      <c r="AD54" t="s">
        <v>74</v>
      </c>
      <c r="AE54" t="s">
        <v>74</v>
      </c>
      <c r="AF54" t="s">
        <v>74</v>
      </c>
      <c r="AG54">
        <v>16</v>
      </c>
      <c r="AH54">
        <v>64</v>
      </c>
      <c r="AI54">
        <v>87</v>
      </c>
      <c r="AJ54">
        <v>0</v>
      </c>
      <c r="AK54">
        <v>33</v>
      </c>
      <c r="AL54" t="s">
        <v>435</v>
      </c>
      <c r="AM54" t="s">
        <v>436</v>
      </c>
      <c r="AN54" t="s">
        <v>437</v>
      </c>
      <c r="AO54" t="s">
        <v>1005</v>
      </c>
      <c r="AP54" t="s">
        <v>1006</v>
      </c>
      <c r="AQ54" t="s">
        <v>74</v>
      </c>
      <c r="AR54" t="s">
        <v>1007</v>
      </c>
      <c r="AS54" t="s">
        <v>1008</v>
      </c>
      <c r="AT54" t="s">
        <v>986</v>
      </c>
      <c r="AU54">
        <v>2005</v>
      </c>
      <c r="AV54">
        <v>1077</v>
      </c>
      <c r="AW54">
        <v>2</v>
      </c>
      <c r="AX54" t="s">
        <v>74</v>
      </c>
      <c r="AY54" t="s">
        <v>74</v>
      </c>
      <c r="AZ54" t="s">
        <v>74</v>
      </c>
      <c r="BA54" t="s">
        <v>74</v>
      </c>
      <c r="BB54">
        <v>181</v>
      </c>
      <c r="BC54">
        <v>187</v>
      </c>
      <c r="BD54" t="s">
        <v>74</v>
      </c>
      <c r="BE54" t="s">
        <v>1009</v>
      </c>
      <c r="BF54" t="str">
        <f>HYPERLINK("http://dx.doi.org/10.1016/j.chroma.2005.04.076","http://dx.doi.org/10.1016/j.chroma.2005.04.076")</f>
        <v>http://dx.doi.org/10.1016/j.chroma.2005.04.076</v>
      </c>
      <c r="BG54" t="s">
        <v>74</v>
      </c>
      <c r="BH54" t="s">
        <v>74</v>
      </c>
      <c r="BI54">
        <v>7</v>
      </c>
      <c r="BJ54" t="s">
        <v>1010</v>
      </c>
      <c r="BK54" t="s">
        <v>95</v>
      </c>
      <c r="BL54" t="s">
        <v>1011</v>
      </c>
      <c r="BM54" t="s">
        <v>1012</v>
      </c>
      <c r="BN54">
        <v>16001554</v>
      </c>
      <c r="BO54" t="s">
        <v>74</v>
      </c>
      <c r="BP54" t="s">
        <v>74</v>
      </c>
      <c r="BQ54" t="s">
        <v>74</v>
      </c>
      <c r="BR54" t="s">
        <v>97</v>
      </c>
      <c r="BS54" t="s">
        <v>1013</v>
      </c>
      <c r="BT54" t="str">
        <f>HYPERLINK("https%3A%2F%2Fwww.webofscience.com%2Fwos%2Fwoscc%2Ffull-record%2FWOS:000229945600010","View Full Record in Web of Science")</f>
        <v>View Full Record in Web of Science</v>
      </c>
    </row>
    <row r="55" spans="1:72" x14ac:dyDescent="0.15">
      <c r="A55" t="s">
        <v>72</v>
      </c>
      <c r="B55" t="s">
        <v>1014</v>
      </c>
      <c r="C55" t="s">
        <v>74</v>
      </c>
      <c r="D55" t="s">
        <v>74</v>
      </c>
      <c r="E55" t="s">
        <v>74</v>
      </c>
      <c r="F55" t="s">
        <v>1014</v>
      </c>
      <c r="G55" t="s">
        <v>74</v>
      </c>
      <c r="H55" t="s">
        <v>74</v>
      </c>
      <c r="I55" t="s">
        <v>1015</v>
      </c>
      <c r="J55" t="s">
        <v>1016</v>
      </c>
      <c r="K55" t="s">
        <v>74</v>
      </c>
      <c r="L55" t="s">
        <v>74</v>
      </c>
      <c r="M55" t="s">
        <v>77</v>
      </c>
      <c r="N55" t="s">
        <v>78</v>
      </c>
      <c r="O55" t="s">
        <v>74</v>
      </c>
      <c r="P55" t="s">
        <v>74</v>
      </c>
      <c r="Q55" t="s">
        <v>74</v>
      </c>
      <c r="R55" t="s">
        <v>74</v>
      </c>
      <c r="S55" t="s">
        <v>74</v>
      </c>
      <c r="T55" t="s">
        <v>74</v>
      </c>
      <c r="U55" t="s">
        <v>1017</v>
      </c>
      <c r="V55" t="s">
        <v>1018</v>
      </c>
      <c r="W55" t="s">
        <v>1019</v>
      </c>
      <c r="X55" t="s">
        <v>1020</v>
      </c>
      <c r="Y55" t="s">
        <v>1021</v>
      </c>
      <c r="Z55" t="s">
        <v>1022</v>
      </c>
      <c r="AA55" t="s">
        <v>1023</v>
      </c>
      <c r="AB55" t="s">
        <v>74</v>
      </c>
      <c r="AC55" t="s">
        <v>74</v>
      </c>
      <c r="AD55" t="s">
        <v>74</v>
      </c>
      <c r="AE55" t="s">
        <v>74</v>
      </c>
      <c r="AF55" t="s">
        <v>74</v>
      </c>
      <c r="AG55">
        <v>44</v>
      </c>
      <c r="AH55">
        <v>178</v>
      </c>
      <c r="AI55">
        <v>190</v>
      </c>
      <c r="AJ55">
        <v>2</v>
      </c>
      <c r="AK55">
        <v>12</v>
      </c>
      <c r="AL55" t="s">
        <v>527</v>
      </c>
      <c r="AM55" t="s">
        <v>528</v>
      </c>
      <c r="AN55" t="s">
        <v>529</v>
      </c>
      <c r="AO55" t="s">
        <v>1024</v>
      </c>
      <c r="AP55" t="s">
        <v>1025</v>
      </c>
      <c r="AQ55" t="s">
        <v>74</v>
      </c>
      <c r="AR55" t="s">
        <v>1026</v>
      </c>
      <c r="AS55" t="s">
        <v>1027</v>
      </c>
      <c r="AT55" t="s">
        <v>1028</v>
      </c>
      <c r="AU55">
        <v>2005</v>
      </c>
      <c r="AV55">
        <v>110</v>
      </c>
      <c r="AW55" t="s">
        <v>1029</v>
      </c>
      <c r="AX55" t="s">
        <v>74</v>
      </c>
      <c r="AY55" t="s">
        <v>74</v>
      </c>
      <c r="AZ55" t="s">
        <v>74</v>
      </c>
      <c r="BA55" t="s">
        <v>74</v>
      </c>
      <c r="BB55" t="s">
        <v>74</v>
      </c>
      <c r="BC55" t="s">
        <v>74</v>
      </c>
      <c r="BD55" t="s">
        <v>1030</v>
      </c>
      <c r="BE55" t="s">
        <v>1031</v>
      </c>
      <c r="BF55" t="str">
        <f>HYPERLINK("http://dx.doi.org/10.1029/2004JB003222","http://dx.doi.org/10.1029/2004JB003222")</f>
        <v>http://dx.doi.org/10.1029/2004JB003222</v>
      </c>
      <c r="BG55" t="s">
        <v>74</v>
      </c>
      <c r="BH55" t="s">
        <v>74</v>
      </c>
      <c r="BI55">
        <v>17</v>
      </c>
      <c r="BJ55" t="s">
        <v>381</v>
      </c>
      <c r="BK55" t="s">
        <v>95</v>
      </c>
      <c r="BL55" t="s">
        <v>381</v>
      </c>
      <c r="BM55" t="s">
        <v>1032</v>
      </c>
      <c r="BN55" t="s">
        <v>74</v>
      </c>
      <c r="BO55" t="s">
        <v>539</v>
      </c>
      <c r="BP55" t="s">
        <v>74</v>
      </c>
      <c r="BQ55" t="s">
        <v>74</v>
      </c>
      <c r="BR55" t="s">
        <v>97</v>
      </c>
      <c r="BS55" t="s">
        <v>1033</v>
      </c>
      <c r="BT55" t="str">
        <f>HYPERLINK("https%3A%2F%2Fwww.webofscience.com%2Fwos%2Fwoscc%2Ffull-record%2FWOS:000229965900001","View Full Record in Web of Science")</f>
        <v>View Full Record in Web of Science</v>
      </c>
    </row>
    <row r="56" spans="1:72" x14ac:dyDescent="0.15">
      <c r="A56" t="s">
        <v>72</v>
      </c>
      <c r="B56" t="s">
        <v>1034</v>
      </c>
      <c r="C56" t="s">
        <v>74</v>
      </c>
      <c r="D56" t="s">
        <v>74</v>
      </c>
      <c r="E56" t="s">
        <v>74</v>
      </c>
      <c r="F56" t="s">
        <v>1034</v>
      </c>
      <c r="G56" t="s">
        <v>74</v>
      </c>
      <c r="H56" t="s">
        <v>74</v>
      </c>
      <c r="I56" t="s">
        <v>1035</v>
      </c>
      <c r="J56" t="s">
        <v>519</v>
      </c>
      <c r="K56" t="s">
        <v>74</v>
      </c>
      <c r="L56" t="s">
        <v>74</v>
      </c>
      <c r="M56" t="s">
        <v>77</v>
      </c>
      <c r="N56" t="s">
        <v>78</v>
      </c>
      <c r="O56" t="s">
        <v>74</v>
      </c>
      <c r="P56" t="s">
        <v>74</v>
      </c>
      <c r="Q56" t="s">
        <v>74</v>
      </c>
      <c r="R56" t="s">
        <v>74</v>
      </c>
      <c r="S56" t="s">
        <v>74</v>
      </c>
      <c r="T56" t="s">
        <v>74</v>
      </c>
      <c r="U56" t="s">
        <v>1036</v>
      </c>
      <c r="V56" t="s">
        <v>1037</v>
      </c>
      <c r="W56" t="s">
        <v>1038</v>
      </c>
      <c r="X56" t="s">
        <v>1039</v>
      </c>
      <c r="Y56" t="s">
        <v>1040</v>
      </c>
      <c r="Z56" t="s">
        <v>1041</v>
      </c>
      <c r="AA56" t="s">
        <v>1042</v>
      </c>
      <c r="AB56" t="s">
        <v>1043</v>
      </c>
      <c r="AC56" t="s">
        <v>74</v>
      </c>
      <c r="AD56" t="s">
        <v>74</v>
      </c>
      <c r="AE56" t="s">
        <v>74</v>
      </c>
      <c r="AF56" t="s">
        <v>74</v>
      </c>
      <c r="AG56">
        <v>24</v>
      </c>
      <c r="AH56">
        <v>185</v>
      </c>
      <c r="AI56">
        <v>209</v>
      </c>
      <c r="AJ56">
        <v>0</v>
      </c>
      <c r="AK56">
        <v>38</v>
      </c>
      <c r="AL56" t="s">
        <v>527</v>
      </c>
      <c r="AM56" t="s">
        <v>528</v>
      </c>
      <c r="AN56" t="s">
        <v>529</v>
      </c>
      <c r="AO56" t="s">
        <v>530</v>
      </c>
      <c r="AP56" t="s">
        <v>531</v>
      </c>
      <c r="AQ56" t="s">
        <v>74</v>
      </c>
      <c r="AR56" t="s">
        <v>532</v>
      </c>
      <c r="AS56" t="s">
        <v>533</v>
      </c>
      <c r="AT56" t="s">
        <v>1044</v>
      </c>
      <c r="AU56">
        <v>2005</v>
      </c>
      <c r="AV56">
        <v>32</v>
      </c>
      <c r="AW56">
        <v>11</v>
      </c>
      <c r="AX56" t="s">
        <v>74</v>
      </c>
      <c r="AY56" t="s">
        <v>74</v>
      </c>
      <c r="AZ56" t="s">
        <v>74</v>
      </c>
      <c r="BA56" t="s">
        <v>74</v>
      </c>
      <c r="BB56" t="s">
        <v>74</v>
      </c>
      <c r="BC56" t="s">
        <v>74</v>
      </c>
      <c r="BD56" t="s">
        <v>1045</v>
      </c>
      <c r="BE56" t="s">
        <v>1046</v>
      </c>
      <c r="BF56" t="str">
        <f>HYPERLINK("http://dx.doi.org/10.1029/2005GL022727","http://dx.doi.org/10.1029/2005GL022727")</f>
        <v>http://dx.doi.org/10.1029/2005GL022727</v>
      </c>
      <c r="BG56" t="s">
        <v>74</v>
      </c>
      <c r="BH56" t="s">
        <v>74</v>
      </c>
      <c r="BI56">
        <v>4</v>
      </c>
      <c r="BJ56" t="s">
        <v>537</v>
      </c>
      <c r="BK56" t="s">
        <v>95</v>
      </c>
      <c r="BL56" t="s">
        <v>307</v>
      </c>
      <c r="BM56" t="s">
        <v>1047</v>
      </c>
      <c r="BN56" t="s">
        <v>74</v>
      </c>
      <c r="BO56" t="s">
        <v>539</v>
      </c>
      <c r="BP56" t="s">
        <v>74</v>
      </c>
      <c r="BQ56" t="s">
        <v>74</v>
      </c>
      <c r="BR56" t="s">
        <v>97</v>
      </c>
      <c r="BS56" t="s">
        <v>1048</v>
      </c>
      <c r="BT56" t="str">
        <f>HYPERLINK("https%3A%2F%2Fwww.webofscience.com%2Fwos%2Fwoscc%2Ffull-record%2FWOS:000229963800005","View Full Record in Web of Science")</f>
        <v>View Full Record in Web of Science</v>
      </c>
    </row>
    <row r="57" spans="1:72" x14ac:dyDescent="0.15">
      <c r="A57" t="s">
        <v>72</v>
      </c>
      <c r="B57" t="s">
        <v>1049</v>
      </c>
      <c r="C57" t="s">
        <v>74</v>
      </c>
      <c r="D57" t="s">
        <v>74</v>
      </c>
      <c r="E57" t="s">
        <v>74</v>
      </c>
      <c r="F57" t="s">
        <v>1049</v>
      </c>
      <c r="G57" t="s">
        <v>74</v>
      </c>
      <c r="H57" t="s">
        <v>74</v>
      </c>
      <c r="I57" t="s">
        <v>1050</v>
      </c>
      <c r="J57" t="s">
        <v>637</v>
      </c>
      <c r="K57" t="s">
        <v>74</v>
      </c>
      <c r="L57" t="s">
        <v>74</v>
      </c>
      <c r="M57" t="s">
        <v>77</v>
      </c>
      <c r="N57" t="s">
        <v>78</v>
      </c>
      <c r="O57" t="s">
        <v>74</v>
      </c>
      <c r="P57" t="s">
        <v>74</v>
      </c>
      <c r="Q57" t="s">
        <v>74</v>
      </c>
      <c r="R57" t="s">
        <v>74</v>
      </c>
      <c r="S57" t="s">
        <v>74</v>
      </c>
      <c r="T57" t="s">
        <v>74</v>
      </c>
      <c r="U57" t="s">
        <v>1051</v>
      </c>
      <c r="V57" t="s">
        <v>1052</v>
      </c>
      <c r="W57" t="s">
        <v>1053</v>
      </c>
      <c r="X57" t="s">
        <v>1054</v>
      </c>
      <c r="Y57" t="s">
        <v>1055</v>
      </c>
      <c r="Z57" t="s">
        <v>1056</v>
      </c>
      <c r="AA57" t="s">
        <v>1057</v>
      </c>
      <c r="AB57" t="s">
        <v>1058</v>
      </c>
      <c r="AC57" t="s">
        <v>74</v>
      </c>
      <c r="AD57" t="s">
        <v>74</v>
      </c>
      <c r="AE57" t="s">
        <v>74</v>
      </c>
      <c r="AF57" t="s">
        <v>74</v>
      </c>
      <c r="AG57">
        <v>79</v>
      </c>
      <c r="AH57">
        <v>28</v>
      </c>
      <c r="AI57">
        <v>32</v>
      </c>
      <c r="AJ57">
        <v>2</v>
      </c>
      <c r="AK57">
        <v>5</v>
      </c>
      <c r="AL57" t="s">
        <v>527</v>
      </c>
      <c r="AM57" t="s">
        <v>528</v>
      </c>
      <c r="AN57" t="s">
        <v>529</v>
      </c>
      <c r="AO57" t="s">
        <v>644</v>
      </c>
      <c r="AP57" t="s">
        <v>645</v>
      </c>
      <c r="AQ57" t="s">
        <v>74</v>
      </c>
      <c r="AR57" t="s">
        <v>637</v>
      </c>
      <c r="AS57" t="s">
        <v>646</v>
      </c>
      <c r="AT57" t="s">
        <v>1059</v>
      </c>
      <c r="AU57">
        <v>2005</v>
      </c>
      <c r="AV57">
        <v>20</v>
      </c>
      <c r="AW57">
        <v>2</v>
      </c>
      <c r="AX57" t="s">
        <v>74</v>
      </c>
      <c r="AY57" t="s">
        <v>74</v>
      </c>
      <c r="AZ57" t="s">
        <v>74</v>
      </c>
      <c r="BA57" t="s">
        <v>74</v>
      </c>
      <c r="BB57" t="s">
        <v>74</v>
      </c>
      <c r="BC57" t="s">
        <v>74</v>
      </c>
      <c r="BD57" t="s">
        <v>1060</v>
      </c>
      <c r="BE57" t="s">
        <v>1061</v>
      </c>
      <c r="BF57" t="str">
        <f>HYPERLINK("http://dx.doi.org/10.1029/2004PA001055","http://dx.doi.org/10.1029/2004PA001055")</f>
        <v>http://dx.doi.org/10.1029/2004PA001055</v>
      </c>
      <c r="BG57" t="s">
        <v>74</v>
      </c>
      <c r="BH57" t="s">
        <v>74</v>
      </c>
      <c r="BI57">
        <v>16</v>
      </c>
      <c r="BJ57" t="s">
        <v>649</v>
      </c>
      <c r="BK57" t="s">
        <v>95</v>
      </c>
      <c r="BL57" t="s">
        <v>650</v>
      </c>
      <c r="BM57" t="s">
        <v>1062</v>
      </c>
      <c r="BN57" t="s">
        <v>74</v>
      </c>
      <c r="BO57" t="s">
        <v>1063</v>
      </c>
      <c r="BP57" t="s">
        <v>74</v>
      </c>
      <c r="BQ57" t="s">
        <v>74</v>
      </c>
      <c r="BR57" t="s">
        <v>97</v>
      </c>
      <c r="BS57" t="s">
        <v>1064</v>
      </c>
      <c r="BT57" t="str">
        <f>HYPERLINK("https%3A%2F%2Fwww.webofscience.com%2Fwos%2Fwoscc%2Ffull-record%2FWOS:000229831700002","View Full Record in Web of Science")</f>
        <v>View Full Record in Web of Science</v>
      </c>
    </row>
    <row r="58" spans="1:72" x14ac:dyDescent="0.15">
      <c r="A58" t="s">
        <v>72</v>
      </c>
      <c r="B58" t="s">
        <v>1065</v>
      </c>
      <c r="C58" t="s">
        <v>74</v>
      </c>
      <c r="D58" t="s">
        <v>74</v>
      </c>
      <c r="E58" t="s">
        <v>74</v>
      </c>
      <c r="F58" t="s">
        <v>1065</v>
      </c>
      <c r="G58" t="s">
        <v>74</v>
      </c>
      <c r="H58" t="s">
        <v>74</v>
      </c>
      <c r="I58" t="s">
        <v>1066</v>
      </c>
      <c r="J58" t="s">
        <v>1067</v>
      </c>
      <c r="K58" t="s">
        <v>74</v>
      </c>
      <c r="L58" t="s">
        <v>74</v>
      </c>
      <c r="M58" t="s">
        <v>77</v>
      </c>
      <c r="N58" t="s">
        <v>249</v>
      </c>
      <c r="O58" t="s">
        <v>74</v>
      </c>
      <c r="P58" t="s">
        <v>74</v>
      </c>
      <c r="Q58" t="s">
        <v>74</v>
      </c>
      <c r="R58" t="s">
        <v>74</v>
      </c>
      <c r="S58" t="s">
        <v>74</v>
      </c>
      <c r="T58" t="s">
        <v>74</v>
      </c>
      <c r="U58" t="s">
        <v>74</v>
      </c>
      <c r="V58" t="s">
        <v>74</v>
      </c>
      <c r="W58" t="s">
        <v>74</v>
      </c>
      <c r="X58" t="s">
        <v>74</v>
      </c>
      <c r="Y58" t="s">
        <v>74</v>
      </c>
      <c r="Z58" t="s">
        <v>74</v>
      </c>
      <c r="AA58" t="s">
        <v>74</v>
      </c>
      <c r="AB58" t="s">
        <v>1068</v>
      </c>
      <c r="AC58" t="s">
        <v>74</v>
      </c>
      <c r="AD58" t="s">
        <v>74</v>
      </c>
      <c r="AE58" t="s">
        <v>74</v>
      </c>
      <c r="AF58" t="s">
        <v>74</v>
      </c>
      <c r="AG58">
        <v>0</v>
      </c>
      <c r="AH58">
        <v>0</v>
      </c>
      <c r="AI58">
        <v>0</v>
      </c>
      <c r="AJ58">
        <v>0</v>
      </c>
      <c r="AK58">
        <v>1</v>
      </c>
      <c r="AL58" t="s">
        <v>212</v>
      </c>
      <c r="AM58" t="s">
        <v>134</v>
      </c>
      <c r="AN58" t="s">
        <v>213</v>
      </c>
      <c r="AO58" t="s">
        <v>1069</v>
      </c>
      <c r="AP58" t="s">
        <v>74</v>
      </c>
      <c r="AQ58" t="s">
        <v>74</v>
      </c>
      <c r="AR58" t="s">
        <v>1070</v>
      </c>
      <c r="AS58" t="s">
        <v>1071</v>
      </c>
      <c r="AT58" t="s">
        <v>1072</v>
      </c>
      <c r="AU58">
        <v>2005</v>
      </c>
      <c r="AV58">
        <v>17</v>
      </c>
      <c r="AW58">
        <v>2</v>
      </c>
      <c r="AX58" t="s">
        <v>74</v>
      </c>
      <c r="AY58" t="s">
        <v>74</v>
      </c>
      <c r="AZ58" t="s">
        <v>74</v>
      </c>
      <c r="BA58" t="s">
        <v>74</v>
      </c>
      <c r="BB58">
        <v>161</v>
      </c>
      <c r="BC58">
        <v>161</v>
      </c>
      <c r="BD58" t="s">
        <v>74</v>
      </c>
      <c r="BE58" t="s">
        <v>1073</v>
      </c>
      <c r="BF58" t="str">
        <f>HYPERLINK("http://dx.doi.org/10.1017/S0954102005002701","http://dx.doi.org/10.1017/S0954102005002701")</f>
        <v>http://dx.doi.org/10.1017/S0954102005002701</v>
      </c>
      <c r="BG58" t="s">
        <v>74</v>
      </c>
      <c r="BH58" t="s">
        <v>74</v>
      </c>
      <c r="BI58">
        <v>1</v>
      </c>
      <c r="BJ58" t="s">
        <v>1074</v>
      </c>
      <c r="BK58" t="s">
        <v>95</v>
      </c>
      <c r="BL58" t="s">
        <v>1075</v>
      </c>
      <c r="BM58" t="s">
        <v>1076</v>
      </c>
      <c r="BN58" t="s">
        <v>74</v>
      </c>
      <c r="BO58" t="s">
        <v>539</v>
      </c>
      <c r="BP58" t="s">
        <v>74</v>
      </c>
      <c r="BQ58" t="s">
        <v>74</v>
      </c>
      <c r="BR58" t="s">
        <v>97</v>
      </c>
      <c r="BS58" t="s">
        <v>1077</v>
      </c>
      <c r="BT58" t="str">
        <f>HYPERLINK("https%3A%2F%2Fwww.webofscience.com%2Fwos%2Fwoscc%2Ffull-record%2FWOS:000230508300001","View Full Record in Web of Science")</f>
        <v>View Full Record in Web of Science</v>
      </c>
    </row>
    <row r="59" spans="1:72" x14ac:dyDescent="0.15">
      <c r="A59" t="s">
        <v>72</v>
      </c>
      <c r="B59" t="s">
        <v>1078</v>
      </c>
      <c r="C59" t="s">
        <v>74</v>
      </c>
      <c r="D59" t="s">
        <v>74</v>
      </c>
      <c r="E59" t="s">
        <v>74</v>
      </c>
      <c r="F59" t="s">
        <v>1078</v>
      </c>
      <c r="G59" t="s">
        <v>74</v>
      </c>
      <c r="H59" t="s">
        <v>74</v>
      </c>
      <c r="I59" t="s">
        <v>1079</v>
      </c>
      <c r="J59" t="s">
        <v>1067</v>
      </c>
      <c r="K59" t="s">
        <v>74</v>
      </c>
      <c r="L59" t="s">
        <v>74</v>
      </c>
      <c r="M59" t="s">
        <v>77</v>
      </c>
      <c r="N59" t="s">
        <v>78</v>
      </c>
      <c r="O59" t="s">
        <v>74</v>
      </c>
      <c r="P59" t="s">
        <v>74</v>
      </c>
      <c r="Q59" t="s">
        <v>74</v>
      </c>
      <c r="R59" t="s">
        <v>74</v>
      </c>
      <c r="S59" t="s">
        <v>74</v>
      </c>
      <c r="T59" t="s">
        <v>1080</v>
      </c>
      <c r="U59" t="s">
        <v>1081</v>
      </c>
      <c r="V59" t="s">
        <v>1082</v>
      </c>
      <c r="W59" t="s">
        <v>1083</v>
      </c>
      <c r="X59" t="s">
        <v>1084</v>
      </c>
      <c r="Y59" t="s">
        <v>1085</v>
      </c>
      <c r="Z59" t="s">
        <v>1086</v>
      </c>
      <c r="AA59" t="s">
        <v>74</v>
      </c>
      <c r="AB59" t="s">
        <v>1087</v>
      </c>
      <c r="AC59" t="s">
        <v>74</v>
      </c>
      <c r="AD59" t="s">
        <v>74</v>
      </c>
      <c r="AE59" t="s">
        <v>74</v>
      </c>
      <c r="AF59" t="s">
        <v>74</v>
      </c>
      <c r="AG59">
        <v>28</v>
      </c>
      <c r="AH59">
        <v>9</v>
      </c>
      <c r="AI59">
        <v>13</v>
      </c>
      <c r="AJ59">
        <v>0</v>
      </c>
      <c r="AK59">
        <v>14</v>
      </c>
      <c r="AL59" t="s">
        <v>212</v>
      </c>
      <c r="AM59" t="s">
        <v>134</v>
      </c>
      <c r="AN59" t="s">
        <v>236</v>
      </c>
      <c r="AO59" t="s">
        <v>1069</v>
      </c>
      <c r="AP59" t="s">
        <v>1088</v>
      </c>
      <c r="AQ59" t="s">
        <v>74</v>
      </c>
      <c r="AR59" t="s">
        <v>1070</v>
      </c>
      <c r="AS59" t="s">
        <v>1071</v>
      </c>
      <c r="AT59" t="s">
        <v>1072</v>
      </c>
      <c r="AU59">
        <v>2005</v>
      </c>
      <c r="AV59">
        <v>17</v>
      </c>
      <c r="AW59">
        <v>2</v>
      </c>
      <c r="AX59" t="s">
        <v>74</v>
      </c>
      <c r="AY59" t="s">
        <v>74</v>
      </c>
      <c r="AZ59" t="s">
        <v>74</v>
      </c>
      <c r="BA59" t="s">
        <v>74</v>
      </c>
      <c r="BB59">
        <v>163</v>
      </c>
      <c r="BC59">
        <v>170</v>
      </c>
      <c r="BD59" t="s">
        <v>74</v>
      </c>
      <c r="BE59" t="s">
        <v>1089</v>
      </c>
      <c r="BF59" t="str">
        <f>HYPERLINK("http://dx.doi.org/10.1017/S0954102005002579","http://dx.doi.org/10.1017/S0954102005002579")</f>
        <v>http://dx.doi.org/10.1017/S0954102005002579</v>
      </c>
      <c r="BG59" t="s">
        <v>74</v>
      </c>
      <c r="BH59" t="s">
        <v>74</v>
      </c>
      <c r="BI59">
        <v>8</v>
      </c>
      <c r="BJ59" t="s">
        <v>1074</v>
      </c>
      <c r="BK59" t="s">
        <v>95</v>
      </c>
      <c r="BL59" t="s">
        <v>1075</v>
      </c>
      <c r="BM59" t="s">
        <v>1076</v>
      </c>
      <c r="BN59" t="s">
        <v>74</v>
      </c>
      <c r="BO59" t="s">
        <v>74</v>
      </c>
      <c r="BP59" t="s">
        <v>74</v>
      </c>
      <c r="BQ59" t="s">
        <v>74</v>
      </c>
      <c r="BR59" t="s">
        <v>97</v>
      </c>
      <c r="BS59" t="s">
        <v>1090</v>
      </c>
      <c r="BT59" t="str">
        <f>HYPERLINK("https%3A%2F%2Fwww.webofscience.com%2Fwos%2Fwoscc%2Ffull-record%2FWOS:000230508300002","View Full Record in Web of Science")</f>
        <v>View Full Record in Web of Science</v>
      </c>
    </row>
    <row r="60" spans="1:72" x14ac:dyDescent="0.15">
      <c r="A60" t="s">
        <v>72</v>
      </c>
      <c r="B60" t="s">
        <v>1091</v>
      </c>
      <c r="C60" t="s">
        <v>74</v>
      </c>
      <c r="D60" t="s">
        <v>74</v>
      </c>
      <c r="E60" t="s">
        <v>74</v>
      </c>
      <c r="F60" t="s">
        <v>1091</v>
      </c>
      <c r="G60" t="s">
        <v>74</v>
      </c>
      <c r="H60" t="s">
        <v>74</v>
      </c>
      <c r="I60" t="s">
        <v>1092</v>
      </c>
      <c r="J60" t="s">
        <v>1067</v>
      </c>
      <c r="K60" t="s">
        <v>74</v>
      </c>
      <c r="L60" t="s">
        <v>74</v>
      </c>
      <c r="M60" t="s">
        <v>77</v>
      </c>
      <c r="N60" t="s">
        <v>78</v>
      </c>
      <c r="O60" t="s">
        <v>74</v>
      </c>
      <c r="P60" t="s">
        <v>74</v>
      </c>
      <c r="Q60" t="s">
        <v>74</v>
      </c>
      <c r="R60" t="s">
        <v>74</v>
      </c>
      <c r="S60" t="s">
        <v>74</v>
      </c>
      <c r="T60" t="s">
        <v>1093</v>
      </c>
      <c r="U60" t="s">
        <v>1094</v>
      </c>
      <c r="V60" t="s">
        <v>1095</v>
      </c>
      <c r="W60" t="s">
        <v>1096</v>
      </c>
      <c r="X60" t="s">
        <v>1097</v>
      </c>
      <c r="Y60" t="s">
        <v>1098</v>
      </c>
      <c r="Z60" t="s">
        <v>1099</v>
      </c>
      <c r="AA60" t="s">
        <v>1100</v>
      </c>
      <c r="AB60" t="s">
        <v>1101</v>
      </c>
      <c r="AC60" t="s">
        <v>74</v>
      </c>
      <c r="AD60" t="s">
        <v>74</v>
      </c>
      <c r="AE60" t="s">
        <v>74</v>
      </c>
      <c r="AF60" t="s">
        <v>74</v>
      </c>
      <c r="AG60">
        <v>69</v>
      </c>
      <c r="AH60">
        <v>108</v>
      </c>
      <c r="AI60">
        <v>123</v>
      </c>
      <c r="AJ60">
        <v>1</v>
      </c>
      <c r="AK60">
        <v>59</v>
      </c>
      <c r="AL60" t="s">
        <v>212</v>
      </c>
      <c r="AM60" t="s">
        <v>134</v>
      </c>
      <c r="AN60" t="s">
        <v>213</v>
      </c>
      <c r="AO60" t="s">
        <v>1069</v>
      </c>
      <c r="AP60" t="s">
        <v>74</v>
      </c>
      <c r="AQ60" t="s">
        <v>74</v>
      </c>
      <c r="AR60" t="s">
        <v>1070</v>
      </c>
      <c r="AS60" t="s">
        <v>1071</v>
      </c>
      <c r="AT60" t="s">
        <v>1072</v>
      </c>
      <c r="AU60">
        <v>2005</v>
      </c>
      <c r="AV60">
        <v>17</v>
      </c>
      <c r="AW60">
        <v>2</v>
      </c>
      <c r="AX60" t="s">
        <v>74</v>
      </c>
      <c r="AY60" t="s">
        <v>74</v>
      </c>
      <c r="AZ60" t="s">
        <v>74</v>
      </c>
      <c r="BA60" t="s">
        <v>74</v>
      </c>
      <c r="BB60">
        <v>171</v>
      </c>
      <c r="BC60">
        <v>182</v>
      </c>
      <c r="BD60" t="s">
        <v>74</v>
      </c>
      <c r="BE60" t="s">
        <v>1102</v>
      </c>
      <c r="BF60" t="str">
        <f>HYPERLINK("http://dx.doi.org/10.1017/S0954102005002567","http://dx.doi.org/10.1017/S0954102005002567")</f>
        <v>http://dx.doi.org/10.1017/S0954102005002567</v>
      </c>
      <c r="BG60" t="s">
        <v>74</v>
      </c>
      <c r="BH60" t="s">
        <v>74</v>
      </c>
      <c r="BI60">
        <v>12</v>
      </c>
      <c r="BJ60" t="s">
        <v>1074</v>
      </c>
      <c r="BK60" t="s">
        <v>95</v>
      </c>
      <c r="BL60" t="s">
        <v>1075</v>
      </c>
      <c r="BM60" t="s">
        <v>1076</v>
      </c>
      <c r="BN60" t="s">
        <v>74</v>
      </c>
      <c r="BO60" t="s">
        <v>74</v>
      </c>
      <c r="BP60" t="s">
        <v>74</v>
      </c>
      <c r="BQ60" t="s">
        <v>74</v>
      </c>
      <c r="BR60" t="s">
        <v>97</v>
      </c>
      <c r="BS60" t="s">
        <v>1103</v>
      </c>
      <c r="BT60" t="str">
        <f>HYPERLINK("https%3A%2F%2Fwww.webofscience.com%2Fwos%2Fwoscc%2Ffull-record%2FWOS:000230508300003","View Full Record in Web of Science")</f>
        <v>View Full Record in Web of Science</v>
      </c>
    </row>
    <row r="61" spans="1:72" x14ac:dyDescent="0.15">
      <c r="A61" t="s">
        <v>72</v>
      </c>
      <c r="B61" t="s">
        <v>1104</v>
      </c>
      <c r="C61" t="s">
        <v>74</v>
      </c>
      <c r="D61" t="s">
        <v>74</v>
      </c>
      <c r="E61" t="s">
        <v>74</v>
      </c>
      <c r="F61" t="s">
        <v>1104</v>
      </c>
      <c r="G61" t="s">
        <v>74</v>
      </c>
      <c r="H61" t="s">
        <v>74</v>
      </c>
      <c r="I61" t="s">
        <v>1105</v>
      </c>
      <c r="J61" t="s">
        <v>1067</v>
      </c>
      <c r="K61" t="s">
        <v>74</v>
      </c>
      <c r="L61" t="s">
        <v>74</v>
      </c>
      <c r="M61" t="s">
        <v>77</v>
      </c>
      <c r="N61" t="s">
        <v>78</v>
      </c>
      <c r="O61" t="s">
        <v>74</v>
      </c>
      <c r="P61" t="s">
        <v>74</v>
      </c>
      <c r="Q61" t="s">
        <v>74</v>
      </c>
      <c r="R61" t="s">
        <v>74</v>
      </c>
      <c r="S61" t="s">
        <v>74</v>
      </c>
      <c r="T61" t="s">
        <v>1106</v>
      </c>
      <c r="U61" t="s">
        <v>1107</v>
      </c>
      <c r="V61" t="s">
        <v>1108</v>
      </c>
      <c r="W61" t="s">
        <v>1109</v>
      </c>
      <c r="X61" t="s">
        <v>1110</v>
      </c>
      <c r="Y61" t="s">
        <v>1111</v>
      </c>
      <c r="Z61" t="s">
        <v>1112</v>
      </c>
      <c r="AA61" t="s">
        <v>1113</v>
      </c>
      <c r="AB61" t="s">
        <v>1114</v>
      </c>
      <c r="AC61" t="s">
        <v>74</v>
      </c>
      <c r="AD61" t="s">
        <v>74</v>
      </c>
      <c r="AE61" t="s">
        <v>74</v>
      </c>
      <c r="AF61" t="s">
        <v>74</v>
      </c>
      <c r="AG61">
        <v>66</v>
      </c>
      <c r="AH61">
        <v>57</v>
      </c>
      <c r="AI61">
        <v>61</v>
      </c>
      <c r="AJ61">
        <v>3</v>
      </c>
      <c r="AK61">
        <v>53</v>
      </c>
      <c r="AL61" t="s">
        <v>212</v>
      </c>
      <c r="AM61" t="s">
        <v>134</v>
      </c>
      <c r="AN61" t="s">
        <v>236</v>
      </c>
      <c r="AO61" t="s">
        <v>1069</v>
      </c>
      <c r="AP61" t="s">
        <v>1088</v>
      </c>
      <c r="AQ61" t="s">
        <v>74</v>
      </c>
      <c r="AR61" t="s">
        <v>1070</v>
      </c>
      <c r="AS61" t="s">
        <v>1071</v>
      </c>
      <c r="AT61" t="s">
        <v>1072</v>
      </c>
      <c r="AU61">
        <v>2005</v>
      </c>
      <c r="AV61">
        <v>17</v>
      </c>
      <c r="AW61">
        <v>2</v>
      </c>
      <c r="AX61" t="s">
        <v>74</v>
      </c>
      <c r="AY61" t="s">
        <v>74</v>
      </c>
      <c r="AZ61" t="s">
        <v>74</v>
      </c>
      <c r="BA61" t="s">
        <v>74</v>
      </c>
      <c r="BB61">
        <v>183</v>
      </c>
      <c r="BC61">
        <v>191</v>
      </c>
      <c r="BD61" t="s">
        <v>74</v>
      </c>
      <c r="BE61" t="s">
        <v>1115</v>
      </c>
      <c r="BF61" t="str">
        <f>HYPERLINK("http://dx.doi.org/10.1017/S0954102005002580","http://dx.doi.org/10.1017/S0954102005002580")</f>
        <v>http://dx.doi.org/10.1017/S0954102005002580</v>
      </c>
      <c r="BG61" t="s">
        <v>74</v>
      </c>
      <c r="BH61" t="s">
        <v>74</v>
      </c>
      <c r="BI61">
        <v>9</v>
      </c>
      <c r="BJ61" t="s">
        <v>1074</v>
      </c>
      <c r="BK61" t="s">
        <v>95</v>
      </c>
      <c r="BL61" t="s">
        <v>1075</v>
      </c>
      <c r="BM61" t="s">
        <v>1076</v>
      </c>
      <c r="BN61" t="s">
        <v>74</v>
      </c>
      <c r="BO61" t="s">
        <v>74</v>
      </c>
      <c r="BP61" t="s">
        <v>74</v>
      </c>
      <c r="BQ61" t="s">
        <v>74</v>
      </c>
      <c r="BR61" t="s">
        <v>97</v>
      </c>
      <c r="BS61" t="s">
        <v>1116</v>
      </c>
      <c r="BT61" t="str">
        <f>HYPERLINK("https%3A%2F%2Fwww.webofscience.com%2Fwos%2Fwoscc%2Ffull-record%2FWOS:000230508300004","View Full Record in Web of Science")</f>
        <v>View Full Record in Web of Science</v>
      </c>
    </row>
    <row r="62" spans="1:72" x14ac:dyDescent="0.15">
      <c r="A62" t="s">
        <v>72</v>
      </c>
      <c r="B62" t="s">
        <v>1117</v>
      </c>
      <c r="C62" t="s">
        <v>74</v>
      </c>
      <c r="D62" t="s">
        <v>74</v>
      </c>
      <c r="E62" t="s">
        <v>74</v>
      </c>
      <c r="F62" t="s">
        <v>1117</v>
      </c>
      <c r="G62" t="s">
        <v>74</v>
      </c>
      <c r="H62" t="s">
        <v>74</v>
      </c>
      <c r="I62" t="s">
        <v>1118</v>
      </c>
      <c r="J62" t="s">
        <v>1067</v>
      </c>
      <c r="K62" t="s">
        <v>74</v>
      </c>
      <c r="L62" t="s">
        <v>74</v>
      </c>
      <c r="M62" t="s">
        <v>77</v>
      </c>
      <c r="N62" t="s">
        <v>78</v>
      </c>
      <c r="O62" t="s">
        <v>74</v>
      </c>
      <c r="P62" t="s">
        <v>74</v>
      </c>
      <c r="Q62" t="s">
        <v>74</v>
      </c>
      <c r="R62" t="s">
        <v>74</v>
      </c>
      <c r="S62" t="s">
        <v>74</v>
      </c>
      <c r="T62" t="s">
        <v>1119</v>
      </c>
      <c r="U62" t="s">
        <v>1120</v>
      </c>
      <c r="V62" t="s">
        <v>1121</v>
      </c>
      <c r="W62" t="s">
        <v>1122</v>
      </c>
      <c r="X62" t="s">
        <v>1123</v>
      </c>
      <c r="Y62" t="s">
        <v>1124</v>
      </c>
      <c r="Z62" t="s">
        <v>1125</v>
      </c>
      <c r="AA62" t="s">
        <v>74</v>
      </c>
      <c r="AB62" t="s">
        <v>1126</v>
      </c>
      <c r="AC62" t="s">
        <v>74</v>
      </c>
      <c r="AD62" t="s">
        <v>74</v>
      </c>
      <c r="AE62" t="s">
        <v>74</v>
      </c>
      <c r="AF62" t="s">
        <v>74</v>
      </c>
      <c r="AG62">
        <v>63</v>
      </c>
      <c r="AH62">
        <v>2</v>
      </c>
      <c r="AI62">
        <v>2</v>
      </c>
      <c r="AJ62">
        <v>0</v>
      </c>
      <c r="AK62">
        <v>4</v>
      </c>
      <c r="AL62" t="s">
        <v>212</v>
      </c>
      <c r="AM62" t="s">
        <v>134</v>
      </c>
      <c r="AN62" t="s">
        <v>213</v>
      </c>
      <c r="AO62" t="s">
        <v>1069</v>
      </c>
      <c r="AP62" t="s">
        <v>74</v>
      </c>
      <c r="AQ62" t="s">
        <v>74</v>
      </c>
      <c r="AR62" t="s">
        <v>1070</v>
      </c>
      <c r="AS62" t="s">
        <v>1071</v>
      </c>
      <c r="AT62" t="s">
        <v>1072</v>
      </c>
      <c r="AU62">
        <v>2005</v>
      </c>
      <c r="AV62">
        <v>17</v>
      </c>
      <c r="AW62">
        <v>2</v>
      </c>
      <c r="AX62" t="s">
        <v>74</v>
      </c>
      <c r="AY62" t="s">
        <v>74</v>
      </c>
      <c r="AZ62" t="s">
        <v>74</v>
      </c>
      <c r="BA62" t="s">
        <v>74</v>
      </c>
      <c r="BB62">
        <v>193</v>
      </c>
      <c r="BC62">
        <v>204</v>
      </c>
      <c r="BD62" t="s">
        <v>74</v>
      </c>
      <c r="BE62" t="s">
        <v>1127</v>
      </c>
      <c r="BF62" t="str">
        <f>HYPERLINK("http://dx.doi.org/10.1017/S0954102005002592","http://dx.doi.org/10.1017/S0954102005002592")</f>
        <v>http://dx.doi.org/10.1017/S0954102005002592</v>
      </c>
      <c r="BG62" t="s">
        <v>74</v>
      </c>
      <c r="BH62" t="s">
        <v>74</v>
      </c>
      <c r="BI62">
        <v>12</v>
      </c>
      <c r="BJ62" t="s">
        <v>1074</v>
      </c>
      <c r="BK62" t="s">
        <v>95</v>
      </c>
      <c r="BL62" t="s">
        <v>1075</v>
      </c>
      <c r="BM62" t="s">
        <v>1076</v>
      </c>
      <c r="BN62" t="s">
        <v>74</v>
      </c>
      <c r="BO62" t="s">
        <v>74</v>
      </c>
      <c r="BP62" t="s">
        <v>74</v>
      </c>
      <c r="BQ62" t="s">
        <v>74</v>
      </c>
      <c r="BR62" t="s">
        <v>97</v>
      </c>
      <c r="BS62" t="s">
        <v>1128</v>
      </c>
      <c r="BT62" t="str">
        <f>HYPERLINK("https%3A%2F%2Fwww.webofscience.com%2Fwos%2Fwoscc%2Ffull-record%2FWOS:000230508300005","View Full Record in Web of Science")</f>
        <v>View Full Record in Web of Science</v>
      </c>
    </row>
    <row r="63" spans="1:72" x14ac:dyDescent="0.15">
      <c r="A63" t="s">
        <v>72</v>
      </c>
      <c r="B63" t="s">
        <v>1129</v>
      </c>
      <c r="C63" t="s">
        <v>74</v>
      </c>
      <c r="D63" t="s">
        <v>74</v>
      </c>
      <c r="E63" t="s">
        <v>74</v>
      </c>
      <c r="F63" t="s">
        <v>1129</v>
      </c>
      <c r="G63" t="s">
        <v>74</v>
      </c>
      <c r="H63" t="s">
        <v>74</v>
      </c>
      <c r="I63" t="s">
        <v>1130</v>
      </c>
      <c r="J63" t="s">
        <v>1067</v>
      </c>
      <c r="K63" t="s">
        <v>74</v>
      </c>
      <c r="L63" t="s">
        <v>74</v>
      </c>
      <c r="M63" t="s">
        <v>77</v>
      </c>
      <c r="N63" t="s">
        <v>78</v>
      </c>
      <c r="O63" t="s">
        <v>74</v>
      </c>
      <c r="P63" t="s">
        <v>74</v>
      </c>
      <c r="Q63" t="s">
        <v>74</v>
      </c>
      <c r="R63" t="s">
        <v>74</v>
      </c>
      <c r="S63" t="s">
        <v>74</v>
      </c>
      <c r="T63" t="s">
        <v>1131</v>
      </c>
      <c r="U63" t="s">
        <v>1132</v>
      </c>
      <c r="V63" t="s">
        <v>1133</v>
      </c>
      <c r="W63" t="s">
        <v>1134</v>
      </c>
      <c r="X63" t="s">
        <v>1135</v>
      </c>
      <c r="Y63" t="s">
        <v>1136</v>
      </c>
      <c r="Z63" t="s">
        <v>1137</v>
      </c>
      <c r="AA63" t="s">
        <v>1138</v>
      </c>
      <c r="AB63" t="s">
        <v>1139</v>
      </c>
      <c r="AC63" t="s">
        <v>74</v>
      </c>
      <c r="AD63" t="s">
        <v>74</v>
      </c>
      <c r="AE63" t="s">
        <v>74</v>
      </c>
      <c r="AF63" t="s">
        <v>74</v>
      </c>
      <c r="AG63">
        <v>33</v>
      </c>
      <c r="AH63">
        <v>13</v>
      </c>
      <c r="AI63">
        <v>14</v>
      </c>
      <c r="AJ63">
        <v>0</v>
      </c>
      <c r="AK63">
        <v>11</v>
      </c>
      <c r="AL63" t="s">
        <v>212</v>
      </c>
      <c r="AM63" t="s">
        <v>134</v>
      </c>
      <c r="AN63" t="s">
        <v>213</v>
      </c>
      <c r="AO63" t="s">
        <v>1069</v>
      </c>
      <c r="AP63" t="s">
        <v>74</v>
      </c>
      <c r="AQ63" t="s">
        <v>74</v>
      </c>
      <c r="AR63" t="s">
        <v>1070</v>
      </c>
      <c r="AS63" t="s">
        <v>1071</v>
      </c>
      <c r="AT63" t="s">
        <v>1072</v>
      </c>
      <c r="AU63">
        <v>2005</v>
      </c>
      <c r="AV63">
        <v>17</v>
      </c>
      <c r="AW63">
        <v>2</v>
      </c>
      <c r="AX63" t="s">
        <v>74</v>
      </c>
      <c r="AY63" t="s">
        <v>74</v>
      </c>
      <c r="AZ63" t="s">
        <v>74</v>
      </c>
      <c r="BA63" t="s">
        <v>74</v>
      </c>
      <c r="BB63">
        <v>205</v>
      </c>
      <c r="BC63">
        <v>210</v>
      </c>
      <c r="BD63" t="s">
        <v>74</v>
      </c>
      <c r="BE63" t="s">
        <v>1140</v>
      </c>
      <c r="BF63" t="str">
        <f>HYPERLINK("http://dx.doi.org/10.1017/S0954102005002609","http://dx.doi.org/10.1017/S0954102005002609")</f>
        <v>http://dx.doi.org/10.1017/S0954102005002609</v>
      </c>
      <c r="BG63" t="s">
        <v>74</v>
      </c>
      <c r="BH63" t="s">
        <v>74</v>
      </c>
      <c r="BI63">
        <v>6</v>
      </c>
      <c r="BJ63" t="s">
        <v>1074</v>
      </c>
      <c r="BK63" t="s">
        <v>95</v>
      </c>
      <c r="BL63" t="s">
        <v>1075</v>
      </c>
      <c r="BM63" t="s">
        <v>1076</v>
      </c>
      <c r="BN63" t="s">
        <v>74</v>
      </c>
      <c r="BO63" t="s">
        <v>74</v>
      </c>
      <c r="BP63" t="s">
        <v>74</v>
      </c>
      <c r="BQ63" t="s">
        <v>74</v>
      </c>
      <c r="BR63" t="s">
        <v>97</v>
      </c>
      <c r="BS63" t="s">
        <v>1141</v>
      </c>
      <c r="BT63" t="str">
        <f>HYPERLINK("https%3A%2F%2Fwww.webofscience.com%2Fwos%2Fwoscc%2Ffull-record%2FWOS:000230508300006","View Full Record in Web of Science")</f>
        <v>View Full Record in Web of Science</v>
      </c>
    </row>
    <row r="64" spans="1:72" x14ac:dyDescent="0.15">
      <c r="A64" t="s">
        <v>72</v>
      </c>
      <c r="B64" t="s">
        <v>1142</v>
      </c>
      <c r="C64" t="s">
        <v>74</v>
      </c>
      <c r="D64" t="s">
        <v>74</v>
      </c>
      <c r="E64" t="s">
        <v>74</v>
      </c>
      <c r="F64" t="s">
        <v>1142</v>
      </c>
      <c r="G64" t="s">
        <v>74</v>
      </c>
      <c r="H64" t="s">
        <v>74</v>
      </c>
      <c r="I64" t="s">
        <v>1143</v>
      </c>
      <c r="J64" t="s">
        <v>1067</v>
      </c>
      <c r="K64" t="s">
        <v>74</v>
      </c>
      <c r="L64" t="s">
        <v>74</v>
      </c>
      <c r="M64" t="s">
        <v>77</v>
      </c>
      <c r="N64" t="s">
        <v>78</v>
      </c>
      <c r="O64" t="s">
        <v>74</v>
      </c>
      <c r="P64" t="s">
        <v>74</v>
      </c>
      <c r="Q64" t="s">
        <v>74</v>
      </c>
      <c r="R64" t="s">
        <v>74</v>
      </c>
      <c r="S64" t="s">
        <v>74</v>
      </c>
      <c r="T64" t="s">
        <v>74</v>
      </c>
      <c r="U64" t="s">
        <v>1144</v>
      </c>
      <c r="V64" t="s">
        <v>74</v>
      </c>
      <c r="W64" t="s">
        <v>1145</v>
      </c>
      <c r="X64" t="s">
        <v>1146</v>
      </c>
      <c r="Y64" t="s">
        <v>1147</v>
      </c>
      <c r="Z64" t="s">
        <v>1148</v>
      </c>
      <c r="AA64" t="s">
        <v>1149</v>
      </c>
      <c r="AB64" t="s">
        <v>1150</v>
      </c>
      <c r="AC64" t="s">
        <v>74</v>
      </c>
      <c r="AD64" t="s">
        <v>74</v>
      </c>
      <c r="AE64" t="s">
        <v>74</v>
      </c>
      <c r="AF64" t="s">
        <v>74</v>
      </c>
      <c r="AG64">
        <v>12</v>
      </c>
      <c r="AH64">
        <v>6</v>
      </c>
      <c r="AI64">
        <v>6</v>
      </c>
      <c r="AJ64">
        <v>0</v>
      </c>
      <c r="AK64">
        <v>2</v>
      </c>
      <c r="AL64" t="s">
        <v>212</v>
      </c>
      <c r="AM64" t="s">
        <v>134</v>
      </c>
      <c r="AN64" t="s">
        <v>236</v>
      </c>
      <c r="AO64" t="s">
        <v>1069</v>
      </c>
      <c r="AP64" t="s">
        <v>74</v>
      </c>
      <c r="AQ64" t="s">
        <v>74</v>
      </c>
      <c r="AR64" t="s">
        <v>1070</v>
      </c>
      <c r="AS64" t="s">
        <v>1071</v>
      </c>
      <c r="AT64" t="s">
        <v>1072</v>
      </c>
      <c r="AU64">
        <v>2005</v>
      </c>
      <c r="AV64">
        <v>17</v>
      </c>
      <c r="AW64">
        <v>2</v>
      </c>
      <c r="AX64" t="s">
        <v>74</v>
      </c>
      <c r="AY64" t="s">
        <v>74</v>
      </c>
      <c r="AZ64" t="s">
        <v>74</v>
      </c>
      <c r="BA64" t="s">
        <v>74</v>
      </c>
      <c r="BB64">
        <v>211</v>
      </c>
      <c r="BC64">
        <v>212</v>
      </c>
      <c r="BD64" t="s">
        <v>74</v>
      </c>
      <c r="BE64" t="s">
        <v>1151</v>
      </c>
      <c r="BF64" t="str">
        <f>HYPERLINK("http://dx.doi.org/10.1017/S0954102005002610","http://dx.doi.org/10.1017/S0954102005002610")</f>
        <v>http://dx.doi.org/10.1017/S0954102005002610</v>
      </c>
      <c r="BG64" t="s">
        <v>74</v>
      </c>
      <c r="BH64" t="s">
        <v>74</v>
      </c>
      <c r="BI64">
        <v>2</v>
      </c>
      <c r="BJ64" t="s">
        <v>1074</v>
      </c>
      <c r="BK64" t="s">
        <v>95</v>
      </c>
      <c r="BL64" t="s">
        <v>1075</v>
      </c>
      <c r="BM64" t="s">
        <v>1076</v>
      </c>
      <c r="BN64" t="s">
        <v>74</v>
      </c>
      <c r="BO64" t="s">
        <v>74</v>
      </c>
      <c r="BP64" t="s">
        <v>74</v>
      </c>
      <c r="BQ64" t="s">
        <v>74</v>
      </c>
      <c r="BR64" t="s">
        <v>97</v>
      </c>
      <c r="BS64" t="s">
        <v>1152</v>
      </c>
      <c r="BT64" t="str">
        <f>HYPERLINK("https%3A%2F%2Fwww.webofscience.com%2Fwos%2Fwoscc%2Ffull-record%2FWOS:000230508300007","View Full Record in Web of Science")</f>
        <v>View Full Record in Web of Science</v>
      </c>
    </row>
    <row r="65" spans="1:72" x14ac:dyDescent="0.15">
      <c r="A65" t="s">
        <v>72</v>
      </c>
      <c r="B65" t="s">
        <v>1153</v>
      </c>
      <c r="C65" t="s">
        <v>74</v>
      </c>
      <c r="D65" t="s">
        <v>74</v>
      </c>
      <c r="E65" t="s">
        <v>74</v>
      </c>
      <c r="F65" t="s">
        <v>1153</v>
      </c>
      <c r="G65" t="s">
        <v>74</v>
      </c>
      <c r="H65" t="s">
        <v>74</v>
      </c>
      <c r="I65" t="s">
        <v>1154</v>
      </c>
      <c r="J65" t="s">
        <v>1067</v>
      </c>
      <c r="K65" t="s">
        <v>74</v>
      </c>
      <c r="L65" t="s">
        <v>74</v>
      </c>
      <c r="M65" t="s">
        <v>77</v>
      </c>
      <c r="N65" t="s">
        <v>78</v>
      </c>
      <c r="O65" t="s">
        <v>74</v>
      </c>
      <c r="P65" t="s">
        <v>74</v>
      </c>
      <c r="Q65" t="s">
        <v>74</v>
      </c>
      <c r="R65" t="s">
        <v>74</v>
      </c>
      <c r="S65" t="s">
        <v>74</v>
      </c>
      <c r="T65" t="s">
        <v>1155</v>
      </c>
      <c r="U65" t="s">
        <v>1156</v>
      </c>
      <c r="V65" t="s">
        <v>1157</v>
      </c>
      <c r="W65" t="s">
        <v>1158</v>
      </c>
      <c r="X65" t="s">
        <v>1159</v>
      </c>
      <c r="Y65" t="s">
        <v>1160</v>
      </c>
      <c r="Z65" t="s">
        <v>1161</v>
      </c>
      <c r="AA65" t="s">
        <v>1162</v>
      </c>
      <c r="AB65" t="s">
        <v>1163</v>
      </c>
      <c r="AC65" t="s">
        <v>74</v>
      </c>
      <c r="AD65" t="s">
        <v>74</v>
      </c>
      <c r="AE65" t="s">
        <v>74</v>
      </c>
      <c r="AF65" t="s">
        <v>74</v>
      </c>
      <c r="AG65">
        <v>45</v>
      </c>
      <c r="AH65">
        <v>30</v>
      </c>
      <c r="AI65">
        <v>30</v>
      </c>
      <c r="AJ65">
        <v>0</v>
      </c>
      <c r="AK65">
        <v>11</v>
      </c>
      <c r="AL65" t="s">
        <v>212</v>
      </c>
      <c r="AM65" t="s">
        <v>134</v>
      </c>
      <c r="AN65" t="s">
        <v>236</v>
      </c>
      <c r="AO65" t="s">
        <v>1069</v>
      </c>
      <c r="AP65" t="s">
        <v>1088</v>
      </c>
      <c r="AQ65" t="s">
        <v>74</v>
      </c>
      <c r="AR65" t="s">
        <v>1070</v>
      </c>
      <c r="AS65" t="s">
        <v>1071</v>
      </c>
      <c r="AT65" t="s">
        <v>1072</v>
      </c>
      <c r="AU65">
        <v>2005</v>
      </c>
      <c r="AV65">
        <v>17</v>
      </c>
      <c r="AW65">
        <v>2</v>
      </c>
      <c r="AX65" t="s">
        <v>74</v>
      </c>
      <c r="AY65" t="s">
        <v>74</v>
      </c>
      <c r="AZ65" t="s">
        <v>74</v>
      </c>
      <c r="BA65" t="s">
        <v>74</v>
      </c>
      <c r="BB65">
        <v>213</v>
      </c>
      <c r="BC65">
        <v>224</v>
      </c>
      <c r="BD65" t="s">
        <v>74</v>
      </c>
      <c r="BE65" t="s">
        <v>1164</v>
      </c>
      <c r="BF65" t="str">
        <f>HYPERLINK("http://dx.doi.org/10.1017/S0954102005002622","http://dx.doi.org/10.1017/S0954102005002622")</f>
        <v>http://dx.doi.org/10.1017/S0954102005002622</v>
      </c>
      <c r="BG65" t="s">
        <v>74</v>
      </c>
      <c r="BH65" t="s">
        <v>74</v>
      </c>
      <c r="BI65">
        <v>12</v>
      </c>
      <c r="BJ65" t="s">
        <v>1074</v>
      </c>
      <c r="BK65" t="s">
        <v>95</v>
      </c>
      <c r="BL65" t="s">
        <v>1075</v>
      </c>
      <c r="BM65" t="s">
        <v>1076</v>
      </c>
      <c r="BN65" t="s">
        <v>74</v>
      </c>
      <c r="BO65" t="s">
        <v>1165</v>
      </c>
      <c r="BP65" t="s">
        <v>74</v>
      </c>
      <c r="BQ65" t="s">
        <v>74</v>
      </c>
      <c r="BR65" t="s">
        <v>97</v>
      </c>
      <c r="BS65" t="s">
        <v>1166</v>
      </c>
      <c r="BT65" t="str">
        <f>HYPERLINK("https%3A%2F%2Fwww.webofscience.com%2Fwos%2Fwoscc%2Ffull-record%2FWOS:000230508300008","View Full Record in Web of Science")</f>
        <v>View Full Record in Web of Science</v>
      </c>
    </row>
    <row r="66" spans="1:72" x14ac:dyDescent="0.15">
      <c r="A66" t="s">
        <v>72</v>
      </c>
      <c r="B66" t="s">
        <v>1167</v>
      </c>
      <c r="C66" t="s">
        <v>74</v>
      </c>
      <c r="D66" t="s">
        <v>74</v>
      </c>
      <c r="E66" t="s">
        <v>74</v>
      </c>
      <c r="F66" t="s">
        <v>1167</v>
      </c>
      <c r="G66" t="s">
        <v>74</v>
      </c>
      <c r="H66" t="s">
        <v>74</v>
      </c>
      <c r="I66" t="s">
        <v>1168</v>
      </c>
      <c r="J66" t="s">
        <v>1067</v>
      </c>
      <c r="K66" t="s">
        <v>74</v>
      </c>
      <c r="L66" t="s">
        <v>74</v>
      </c>
      <c r="M66" t="s">
        <v>77</v>
      </c>
      <c r="N66" t="s">
        <v>78</v>
      </c>
      <c r="O66" t="s">
        <v>74</v>
      </c>
      <c r="P66" t="s">
        <v>74</v>
      </c>
      <c r="Q66" t="s">
        <v>74</v>
      </c>
      <c r="R66" t="s">
        <v>74</v>
      </c>
      <c r="S66" t="s">
        <v>74</v>
      </c>
      <c r="T66" t="s">
        <v>1169</v>
      </c>
      <c r="U66" t="s">
        <v>1170</v>
      </c>
      <c r="V66" t="s">
        <v>1171</v>
      </c>
      <c r="W66" t="s">
        <v>1172</v>
      </c>
      <c r="X66" t="s">
        <v>1173</v>
      </c>
      <c r="Y66" t="s">
        <v>1174</v>
      </c>
      <c r="Z66" t="s">
        <v>1175</v>
      </c>
      <c r="AA66" t="s">
        <v>74</v>
      </c>
      <c r="AB66" t="s">
        <v>74</v>
      </c>
      <c r="AC66" t="s">
        <v>74</v>
      </c>
      <c r="AD66" t="s">
        <v>74</v>
      </c>
      <c r="AE66" t="s">
        <v>74</v>
      </c>
      <c r="AF66" t="s">
        <v>74</v>
      </c>
      <c r="AG66">
        <v>45</v>
      </c>
      <c r="AH66">
        <v>29</v>
      </c>
      <c r="AI66">
        <v>29</v>
      </c>
      <c r="AJ66">
        <v>0</v>
      </c>
      <c r="AK66">
        <v>10</v>
      </c>
      <c r="AL66" t="s">
        <v>212</v>
      </c>
      <c r="AM66" t="s">
        <v>134</v>
      </c>
      <c r="AN66" t="s">
        <v>213</v>
      </c>
      <c r="AO66" t="s">
        <v>1069</v>
      </c>
      <c r="AP66" t="s">
        <v>74</v>
      </c>
      <c r="AQ66" t="s">
        <v>74</v>
      </c>
      <c r="AR66" t="s">
        <v>1070</v>
      </c>
      <c r="AS66" t="s">
        <v>1071</v>
      </c>
      <c r="AT66" t="s">
        <v>1072</v>
      </c>
      <c r="AU66">
        <v>2005</v>
      </c>
      <c r="AV66">
        <v>17</v>
      </c>
      <c r="AW66">
        <v>2</v>
      </c>
      <c r="AX66" t="s">
        <v>74</v>
      </c>
      <c r="AY66" t="s">
        <v>74</v>
      </c>
      <c r="AZ66" t="s">
        <v>74</v>
      </c>
      <c r="BA66" t="s">
        <v>74</v>
      </c>
      <c r="BB66">
        <v>225</v>
      </c>
      <c r="BC66">
        <v>236</v>
      </c>
      <c r="BD66" t="s">
        <v>74</v>
      </c>
      <c r="BE66" t="s">
        <v>1176</v>
      </c>
      <c r="BF66" t="str">
        <f>HYPERLINK("http://dx.doi.org/10.1017/S0954102005002634","http://dx.doi.org/10.1017/S0954102005002634")</f>
        <v>http://dx.doi.org/10.1017/S0954102005002634</v>
      </c>
      <c r="BG66" t="s">
        <v>74</v>
      </c>
      <c r="BH66" t="s">
        <v>74</v>
      </c>
      <c r="BI66">
        <v>12</v>
      </c>
      <c r="BJ66" t="s">
        <v>1074</v>
      </c>
      <c r="BK66" t="s">
        <v>95</v>
      </c>
      <c r="BL66" t="s">
        <v>1075</v>
      </c>
      <c r="BM66" t="s">
        <v>1076</v>
      </c>
      <c r="BN66" t="s">
        <v>74</v>
      </c>
      <c r="BO66" t="s">
        <v>74</v>
      </c>
      <c r="BP66" t="s">
        <v>74</v>
      </c>
      <c r="BQ66" t="s">
        <v>74</v>
      </c>
      <c r="BR66" t="s">
        <v>97</v>
      </c>
      <c r="BS66" t="s">
        <v>1177</v>
      </c>
      <c r="BT66" t="str">
        <f>HYPERLINK("https%3A%2F%2Fwww.webofscience.com%2Fwos%2Fwoscc%2Ffull-record%2FWOS:000230508300009","View Full Record in Web of Science")</f>
        <v>View Full Record in Web of Science</v>
      </c>
    </row>
    <row r="67" spans="1:72" x14ac:dyDescent="0.15">
      <c r="A67" t="s">
        <v>72</v>
      </c>
      <c r="B67" t="s">
        <v>1178</v>
      </c>
      <c r="C67" t="s">
        <v>74</v>
      </c>
      <c r="D67" t="s">
        <v>74</v>
      </c>
      <c r="E67" t="s">
        <v>74</v>
      </c>
      <c r="F67" t="s">
        <v>1178</v>
      </c>
      <c r="G67" t="s">
        <v>74</v>
      </c>
      <c r="H67" t="s">
        <v>74</v>
      </c>
      <c r="I67" t="s">
        <v>1179</v>
      </c>
      <c r="J67" t="s">
        <v>1067</v>
      </c>
      <c r="K67" t="s">
        <v>74</v>
      </c>
      <c r="L67" t="s">
        <v>74</v>
      </c>
      <c r="M67" t="s">
        <v>77</v>
      </c>
      <c r="N67" t="s">
        <v>78</v>
      </c>
      <c r="O67" t="s">
        <v>74</v>
      </c>
      <c r="P67" t="s">
        <v>74</v>
      </c>
      <c r="Q67" t="s">
        <v>74</v>
      </c>
      <c r="R67" t="s">
        <v>74</v>
      </c>
      <c r="S67" t="s">
        <v>74</v>
      </c>
      <c r="T67" t="s">
        <v>1180</v>
      </c>
      <c r="U67" t="s">
        <v>1181</v>
      </c>
      <c r="V67" t="s">
        <v>1182</v>
      </c>
      <c r="W67" t="s">
        <v>1183</v>
      </c>
      <c r="X67" t="s">
        <v>1184</v>
      </c>
      <c r="Y67" t="s">
        <v>1185</v>
      </c>
      <c r="Z67" t="s">
        <v>74</v>
      </c>
      <c r="AA67" t="s">
        <v>74</v>
      </c>
      <c r="AB67" t="s">
        <v>74</v>
      </c>
      <c r="AC67" t="s">
        <v>74</v>
      </c>
      <c r="AD67" t="s">
        <v>74</v>
      </c>
      <c r="AE67" t="s">
        <v>74</v>
      </c>
      <c r="AF67" t="s">
        <v>74</v>
      </c>
      <c r="AG67">
        <v>24</v>
      </c>
      <c r="AH67">
        <v>5</v>
      </c>
      <c r="AI67">
        <v>10</v>
      </c>
      <c r="AJ67">
        <v>0</v>
      </c>
      <c r="AK67">
        <v>6</v>
      </c>
      <c r="AL67" t="s">
        <v>212</v>
      </c>
      <c r="AM67" t="s">
        <v>134</v>
      </c>
      <c r="AN67" t="s">
        <v>236</v>
      </c>
      <c r="AO67" t="s">
        <v>1069</v>
      </c>
      <c r="AP67" t="s">
        <v>1088</v>
      </c>
      <c r="AQ67" t="s">
        <v>74</v>
      </c>
      <c r="AR67" t="s">
        <v>1070</v>
      </c>
      <c r="AS67" t="s">
        <v>1071</v>
      </c>
      <c r="AT67" t="s">
        <v>1072</v>
      </c>
      <c r="AU67">
        <v>2005</v>
      </c>
      <c r="AV67">
        <v>17</v>
      </c>
      <c r="AW67">
        <v>2</v>
      </c>
      <c r="AX67" t="s">
        <v>74</v>
      </c>
      <c r="AY67" t="s">
        <v>74</v>
      </c>
      <c r="AZ67" t="s">
        <v>74</v>
      </c>
      <c r="BA67" t="s">
        <v>74</v>
      </c>
      <c r="BB67">
        <v>237</v>
      </c>
      <c r="BC67">
        <v>240</v>
      </c>
      <c r="BD67" t="s">
        <v>74</v>
      </c>
      <c r="BE67" t="s">
        <v>1186</v>
      </c>
      <c r="BF67" t="str">
        <f>HYPERLINK("http://dx.doi.org/10.1017/S0954102005002646","http://dx.doi.org/10.1017/S0954102005002646")</f>
        <v>http://dx.doi.org/10.1017/S0954102005002646</v>
      </c>
      <c r="BG67" t="s">
        <v>74</v>
      </c>
      <c r="BH67" t="s">
        <v>74</v>
      </c>
      <c r="BI67">
        <v>4</v>
      </c>
      <c r="BJ67" t="s">
        <v>1074</v>
      </c>
      <c r="BK67" t="s">
        <v>95</v>
      </c>
      <c r="BL67" t="s">
        <v>1075</v>
      </c>
      <c r="BM67" t="s">
        <v>1076</v>
      </c>
      <c r="BN67" t="s">
        <v>74</v>
      </c>
      <c r="BO67" t="s">
        <v>74</v>
      </c>
      <c r="BP67" t="s">
        <v>74</v>
      </c>
      <c r="BQ67" t="s">
        <v>74</v>
      </c>
      <c r="BR67" t="s">
        <v>97</v>
      </c>
      <c r="BS67" t="s">
        <v>1187</v>
      </c>
      <c r="BT67" t="str">
        <f>HYPERLINK("https%3A%2F%2Fwww.webofscience.com%2Fwos%2Fwoscc%2Ffull-record%2FWOS:000230508300010","View Full Record in Web of Science")</f>
        <v>View Full Record in Web of Science</v>
      </c>
    </row>
    <row r="68" spans="1:72" x14ac:dyDescent="0.15">
      <c r="A68" t="s">
        <v>72</v>
      </c>
      <c r="B68" t="s">
        <v>1188</v>
      </c>
      <c r="C68" t="s">
        <v>74</v>
      </c>
      <c r="D68" t="s">
        <v>74</v>
      </c>
      <c r="E68" t="s">
        <v>74</v>
      </c>
      <c r="F68" t="s">
        <v>1188</v>
      </c>
      <c r="G68" t="s">
        <v>74</v>
      </c>
      <c r="H68" t="s">
        <v>74</v>
      </c>
      <c r="I68" t="s">
        <v>1189</v>
      </c>
      <c r="J68" t="s">
        <v>1067</v>
      </c>
      <c r="K68" t="s">
        <v>74</v>
      </c>
      <c r="L68" t="s">
        <v>74</v>
      </c>
      <c r="M68" t="s">
        <v>77</v>
      </c>
      <c r="N68" t="s">
        <v>365</v>
      </c>
      <c r="O68" t="s">
        <v>74</v>
      </c>
      <c r="P68" t="s">
        <v>74</v>
      </c>
      <c r="Q68" t="s">
        <v>74</v>
      </c>
      <c r="R68" t="s">
        <v>74</v>
      </c>
      <c r="S68" t="s">
        <v>74</v>
      </c>
      <c r="T68" t="s">
        <v>1190</v>
      </c>
      <c r="U68" t="s">
        <v>1191</v>
      </c>
      <c r="V68" t="s">
        <v>1192</v>
      </c>
      <c r="W68" t="s">
        <v>1193</v>
      </c>
      <c r="X68" t="s">
        <v>1194</v>
      </c>
      <c r="Y68" t="s">
        <v>1195</v>
      </c>
      <c r="Z68" t="s">
        <v>1196</v>
      </c>
      <c r="AA68" t="s">
        <v>1197</v>
      </c>
      <c r="AB68" t="s">
        <v>1198</v>
      </c>
      <c r="AC68" t="s">
        <v>74</v>
      </c>
      <c r="AD68" t="s">
        <v>74</v>
      </c>
      <c r="AE68" t="s">
        <v>74</v>
      </c>
      <c r="AF68" t="s">
        <v>74</v>
      </c>
      <c r="AG68">
        <v>146</v>
      </c>
      <c r="AH68">
        <v>64</v>
      </c>
      <c r="AI68">
        <v>69</v>
      </c>
      <c r="AJ68">
        <v>0</v>
      </c>
      <c r="AK68">
        <v>17</v>
      </c>
      <c r="AL68" t="s">
        <v>212</v>
      </c>
      <c r="AM68" t="s">
        <v>134</v>
      </c>
      <c r="AN68" t="s">
        <v>236</v>
      </c>
      <c r="AO68" t="s">
        <v>1069</v>
      </c>
      <c r="AP68" t="s">
        <v>1088</v>
      </c>
      <c r="AQ68" t="s">
        <v>74</v>
      </c>
      <c r="AR68" t="s">
        <v>1070</v>
      </c>
      <c r="AS68" t="s">
        <v>1071</v>
      </c>
      <c r="AT68" t="s">
        <v>1072</v>
      </c>
      <c r="AU68">
        <v>2005</v>
      </c>
      <c r="AV68">
        <v>17</v>
      </c>
      <c r="AW68">
        <v>2</v>
      </c>
      <c r="AX68" t="s">
        <v>74</v>
      </c>
      <c r="AY68" t="s">
        <v>74</v>
      </c>
      <c r="AZ68" t="s">
        <v>74</v>
      </c>
      <c r="BA68" t="s">
        <v>74</v>
      </c>
      <c r="BB68">
        <v>241</v>
      </c>
      <c r="BC68">
        <v>258</v>
      </c>
      <c r="BD68" t="s">
        <v>74</v>
      </c>
      <c r="BE68" t="s">
        <v>1199</v>
      </c>
      <c r="BF68" t="str">
        <f>HYPERLINK("http://dx.doi.org/10.1017/S0954102005002658","http://dx.doi.org/10.1017/S0954102005002658")</f>
        <v>http://dx.doi.org/10.1017/S0954102005002658</v>
      </c>
      <c r="BG68" t="s">
        <v>74</v>
      </c>
      <c r="BH68" t="s">
        <v>74</v>
      </c>
      <c r="BI68">
        <v>18</v>
      </c>
      <c r="BJ68" t="s">
        <v>1074</v>
      </c>
      <c r="BK68" t="s">
        <v>95</v>
      </c>
      <c r="BL68" t="s">
        <v>1075</v>
      </c>
      <c r="BM68" t="s">
        <v>1076</v>
      </c>
      <c r="BN68" t="s">
        <v>74</v>
      </c>
      <c r="BO68" t="s">
        <v>74</v>
      </c>
      <c r="BP68" t="s">
        <v>74</v>
      </c>
      <c r="BQ68" t="s">
        <v>74</v>
      </c>
      <c r="BR68" t="s">
        <v>97</v>
      </c>
      <c r="BS68" t="s">
        <v>1200</v>
      </c>
      <c r="BT68" t="str">
        <f>HYPERLINK("https%3A%2F%2Fwww.webofscience.com%2Fwos%2Fwoscc%2Ffull-record%2FWOS:000230508300011","View Full Record in Web of Science")</f>
        <v>View Full Record in Web of Science</v>
      </c>
    </row>
    <row r="69" spans="1:72" x14ac:dyDescent="0.15">
      <c r="A69" t="s">
        <v>72</v>
      </c>
      <c r="B69" t="s">
        <v>1201</v>
      </c>
      <c r="C69" t="s">
        <v>74</v>
      </c>
      <c r="D69" t="s">
        <v>74</v>
      </c>
      <c r="E69" t="s">
        <v>74</v>
      </c>
      <c r="F69" t="s">
        <v>1201</v>
      </c>
      <c r="G69" t="s">
        <v>74</v>
      </c>
      <c r="H69" t="s">
        <v>74</v>
      </c>
      <c r="I69" t="s">
        <v>1202</v>
      </c>
      <c r="J69" t="s">
        <v>1067</v>
      </c>
      <c r="K69" t="s">
        <v>74</v>
      </c>
      <c r="L69" t="s">
        <v>74</v>
      </c>
      <c r="M69" t="s">
        <v>77</v>
      </c>
      <c r="N69" t="s">
        <v>78</v>
      </c>
      <c r="O69" t="s">
        <v>74</v>
      </c>
      <c r="P69" t="s">
        <v>74</v>
      </c>
      <c r="Q69" t="s">
        <v>74</v>
      </c>
      <c r="R69" t="s">
        <v>74</v>
      </c>
      <c r="S69" t="s">
        <v>74</v>
      </c>
      <c r="T69" t="s">
        <v>1203</v>
      </c>
      <c r="U69" t="s">
        <v>74</v>
      </c>
      <c r="V69" t="s">
        <v>1204</v>
      </c>
      <c r="W69" t="s">
        <v>1205</v>
      </c>
      <c r="X69" t="s">
        <v>1206</v>
      </c>
      <c r="Y69" t="s">
        <v>1207</v>
      </c>
      <c r="Z69" t="s">
        <v>1208</v>
      </c>
      <c r="AA69" t="s">
        <v>1209</v>
      </c>
      <c r="AB69" t="s">
        <v>1210</v>
      </c>
      <c r="AC69" t="s">
        <v>74</v>
      </c>
      <c r="AD69" t="s">
        <v>74</v>
      </c>
      <c r="AE69" t="s">
        <v>74</v>
      </c>
      <c r="AF69" t="s">
        <v>74</v>
      </c>
      <c r="AG69">
        <v>14</v>
      </c>
      <c r="AH69">
        <v>4</v>
      </c>
      <c r="AI69">
        <v>6</v>
      </c>
      <c r="AJ69">
        <v>1</v>
      </c>
      <c r="AK69">
        <v>7</v>
      </c>
      <c r="AL69" t="s">
        <v>212</v>
      </c>
      <c r="AM69" t="s">
        <v>134</v>
      </c>
      <c r="AN69" t="s">
        <v>236</v>
      </c>
      <c r="AO69" t="s">
        <v>1069</v>
      </c>
      <c r="AP69" t="s">
        <v>1088</v>
      </c>
      <c r="AQ69" t="s">
        <v>74</v>
      </c>
      <c r="AR69" t="s">
        <v>1070</v>
      </c>
      <c r="AS69" t="s">
        <v>1071</v>
      </c>
      <c r="AT69" t="s">
        <v>1072</v>
      </c>
      <c r="AU69">
        <v>2005</v>
      </c>
      <c r="AV69">
        <v>17</v>
      </c>
      <c r="AW69">
        <v>2</v>
      </c>
      <c r="AX69" t="s">
        <v>74</v>
      </c>
      <c r="AY69" t="s">
        <v>74</v>
      </c>
      <c r="AZ69" t="s">
        <v>74</v>
      </c>
      <c r="BA69" t="s">
        <v>74</v>
      </c>
      <c r="BB69">
        <v>259</v>
      </c>
      <c r="BC69">
        <v>266</v>
      </c>
      <c r="BD69" t="s">
        <v>74</v>
      </c>
      <c r="BE69" t="s">
        <v>1211</v>
      </c>
      <c r="BF69" t="str">
        <f>HYPERLINK("http://dx.doi.org/10.1017/S095410200500266X","http://dx.doi.org/10.1017/S095410200500266X")</f>
        <v>http://dx.doi.org/10.1017/S095410200500266X</v>
      </c>
      <c r="BG69" t="s">
        <v>74</v>
      </c>
      <c r="BH69" t="s">
        <v>74</v>
      </c>
      <c r="BI69">
        <v>8</v>
      </c>
      <c r="BJ69" t="s">
        <v>1074</v>
      </c>
      <c r="BK69" t="s">
        <v>95</v>
      </c>
      <c r="BL69" t="s">
        <v>1075</v>
      </c>
      <c r="BM69" t="s">
        <v>1076</v>
      </c>
      <c r="BN69" t="s">
        <v>74</v>
      </c>
      <c r="BO69" t="s">
        <v>74</v>
      </c>
      <c r="BP69" t="s">
        <v>74</v>
      </c>
      <c r="BQ69" t="s">
        <v>74</v>
      </c>
      <c r="BR69" t="s">
        <v>97</v>
      </c>
      <c r="BS69" t="s">
        <v>1212</v>
      </c>
      <c r="BT69" t="str">
        <f>HYPERLINK("https%3A%2F%2Fwww.webofscience.com%2Fwos%2Fwoscc%2Ffull-record%2FWOS:000230508300012","View Full Record in Web of Science")</f>
        <v>View Full Record in Web of Science</v>
      </c>
    </row>
    <row r="70" spans="1:72" x14ac:dyDescent="0.15">
      <c r="A70" t="s">
        <v>72</v>
      </c>
      <c r="B70" t="s">
        <v>1213</v>
      </c>
      <c r="C70" t="s">
        <v>74</v>
      </c>
      <c r="D70" t="s">
        <v>74</v>
      </c>
      <c r="E70" t="s">
        <v>74</v>
      </c>
      <c r="F70" t="s">
        <v>1213</v>
      </c>
      <c r="G70" t="s">
        <v>74</v>
      </c>
      <c r="H70" t="s">
        <v>74</v>
      </c>
      <c r="I70" t="s">
        <v>1214</v>
      </c>
      <c r="J70" t="s">
        <v>1067</v>
      </c>
      <c r="K70" t="s">
        <v>74</v>
      </c>
      <c r="L70" t="s">
        <v>74</v>
      </c>
      <c r="M70" t="s">
        <v>77</v>
      </c>
      <c r="N70" t="s">
        <v>78</v>
      </c>
      <c r="O70" t="s">
        <v>74</v>
      </c>
      <c r="P70" t="s">
        <v>74</v>
      </c>
      <c r="Q70" t="s">
        <v>74</v>
      </c>
      <c r="R70" t="s">
        <v>74</v>
      </c>
      <c r="S70" t="s">
        <v>74</v>
      </c>
      <c r="T70" t="s">
        <v>1215</v>
      </c>
      <c r="U70" t="s">
        <v>1216</v>
      </c>
      <c r="V70" t="s">
        <v>1217</v>
      </c>
      <c r="W70" t="s">
        <v>1218</v>
      </c>
      <c r="X70" t="s">
        <v>1219</v>
      </c>
      <c r="Y70" t="s">
        <v>1220</v>
      </c>
      <c r="Z70" t="s">
        <v>1221</v>
      </c>
      <c r="AA70" t="s">
        <v>1222</v>
      </c>
      <c r="AB70" t="s">
        <v>74</v>
      </c>
      <c r="AC70" t="s">
        <v>74</v>
      </c>
      <c r="AD70" t="s">
        <v>74</v>
      </c>
      <c r="AE70" t="s">
        <v>74</v>
      </c>
      <c r="AF70" t="s">
        <v>74</v>
      </c>
      <c r="AG70">
        <v>71</v>
      </c>
      <c r="AH70">
        <v>13</v>
      </c>
      <c r="AI70">
        <v>16</v>
      </c>
      <c r="AJ70">
        <v>0</v>
      </c>
      <c r="AK70">
        <v>2</v>
      </c>
      <c r="AL70" t="s">
        <v>212</v>
      </c>
      <c r="AM70" t="s">
        <v>134</v>
      </c>
      <c r="AN70" t="s">
        <v>236</v>
      </c>
      <c r="AO70" t="s">
        <v>1069</v>
      </c>
      <c r="AP70" t="s">
        <v>1088</v>
      </c>
      <c r="AQ70" t="s">
        <v>74</v>
      </c>
      <c r="AR70" t="s">
        <v>1070</v>
      </c>
      <c r="AS70" t="s">
        <v>1071</v>
      </c>
      <c r="AT70" t="s">
        <v>1072</v>
      </c>
      <c r="AU70">
        <v>2005</v>
      </c>
      <c r="AV70">
        <v>17</v>
      </c>
      <c r="AW70">
        <v>2</v>
      </c>
      <c r="AX70" t="s">
        <v>74</v>
      </c>
      <c r="AY70" t="s">
        <v>74</v>
      </c>
      <c r="AZ70" t="s">
        <v>74</v>
      </c>
      <c r="BA70" t="s">
        <v>74</v>
      </c>
      <c r="BB70">
        <v>267</v>
      </c>
      <c r="BC70">
        <v>280</v>
      </c>
      <c r="BD70" t="s">
        <v>74</v>
      </c>
      <c r="BE70" t="s">
        <v>1223</v>
      </c>
      <c r="BF70" t="str">
        <f>HYPERLINK("http://dx.doi.org/10.1017/S0954102005002671","http://dx.doi.org/10.1017/S0954102005002671")</f>
        <v>http://dx.doi.org/10.1017/S0954102005002671</v>
      </c>
      <c r="BG70" t="s">
        <v>74</v>
      </c>
      <c r="BH70" t="s">
        <v>74</v>
      </c>
      <c r="BI70">
        <v>14</v>
      </c>
      <c r="BJ70" t="s">
        <v>1074</v>
      </c>
      <c r="BK70" t="s">
        <v>95</v>
      </c>
      <c r="BL70" t="s">
        <v>1075</v>
      </c>
      <c r="BM70" t="s">
        <v>1076</v>
      </c>
      <c r="BN70" t="s">
        <v>74</v>
      </c>
      <c r="BO70" t="s">
        <v>750</v>
      </c>
      <c r="BP70" t="s">
        <v>74</v>
      </c>
      <c r="BQ70" t="s">
        <v>74</v>
      </c>
      <c r="BR70" t="s">
        <v>97</v>
      </c>
      <c r="BS70" t="s">
        <v>1224</v>
      </c>
      <c r="BT70" t="str">
        <f>HYPERLINK("https%3A%2F%2Fwww.webofscience.com%2Fwos%2Fwoscc%2Ffull-record%2FWOS:000230508300013","View Full Record in Web of Science")</f>
        <v>View Full Record in Web of Science</v>
      </c>
    </row>
    <row r="71" spans="1:72" x14ac:dyDescent="0.15">
      <c r="A71" t="s">
        <v>72</v>
      </c>
      <c r="B71" t="s">
        <v>1225</v>
      </c>
      <c r="C71" t="s">
        <v>74</v>
      </c>
      <c r="D71" t="s">
        <v>74</v>
      </c>
      <c r="E71" t="s">
        <v>74</v>
      </c>
      <c r="F71" t="s">
        <v>1225</v>
      </c>
      <c r="G71" t="s">
        <v>74</v>
      </c>
      <c r="H71" t="s">
        <v>74</v>
      </c>
      <c r="I71" t="s">
        <v>1226</v>
      </c>
      <c r="J71" t="s">
        <v>1067</v>
      </c>
      <c r="K71" t="s">
        <v>74</v>
      </c>
      <c r="L71" t="s">
        <v>74</v>
      </c>
      <c r="M71" t="s">
        <v>77</v>
      </c>
      <c r="N71" t="s">
        <v>78</v>
      </c>
      <c r="O71" t="s">
        <v>74</v>
      </c>
      <c r="P71" t="s">
        <v>74</v>
      </c>
      <c r="Q71" t="s">
        <v>74</v>
      </c>
      <c r="R71" t="s">
        <v>74</v>
      </c>
      <c r="S71" t="s">
        <v>74</v>
      </c>
      <c r="T71" t="s">
        <v>1227</v>
      </c>
      <c r="U71" t="s">
        <v>1228</v>
      </c>
      <c r="V71" t="s">
        <v>1229</v>
      </c>
      <c r="W71" t="s">
        <v>1230</v>
      </c>
      <c r="X71" t="s">
        <v>467</v>
      </c>
      <c r="Y71" t="s">
        <v>1231</v>
      </c>
      <c r="Z71" t="s">
        <v>1232</v>
      </c>
      <c r="AA71" t="s">
        <v>1233</v>
      </c>
      <c r="AB71" t="s">
        <v>74</v>
      </c>
      <c r="AC71" t="s">
        <v>74</v>
      </c>
      <c r="AD71" t="s">
        <v>74</v>
      </c>
      <c r="AE71" t="s">
        <v>74</v>
      </c>
      <c r="AF71" t="s">
        <v>74</v>
      </c>
      <c r="AG71">
        <v>22</v>
      </c>
      <c r="AH71">
        <v>5</v>
      </c>
      <c r="AI71">
        <v>5</v>
      </c>
      <c r="AJ71">
        <v>0</v>
      </c>
      <c r="AK71">
        <v>6</v>
      </c>
      <c r="AL71" t="s">
        <v>212</v>
      </c>
      <c r="AM71" t="s">
        <v>134</v>
      </c>
      <c r="AN71" t="s">
        <v>236</v>
      </c>
      <c r="AO71" t="s">
        <v>1069</v>
      </c>
      <c r="AP71" t="s">
        <v>1088</v>
      </c>
      <c r="AQ71" t="s">
        <v>74</v>
      </c>
      <c r="AR71" t="s">
        <v>1070</v>
      </c>
      <c r="AS71" t="s">
        <v>1071</v>
      </c>
      <c r="AT71" t="s">
        <v>1072</v>
      </c>
      <c r="AU71">
        <v>2005</v>
      </c>
      <c r="AV71">
        <v>17</v>
      </c>
      <c r="AW71">
        <v>2</v>
      </c>
      <c r="AX71" t="s">
        <v>74</v>
      </c>
      <c r="AY71" t="s">
        <v>74</v>
      </c>
      <c r="AZ71" t="s">
        <v>74</v>
      </c>
      <c r="BA71" t="s">
        <v>74</v>
      </c>
      <c r="BB71">
        <v>281</v>
      </c>
      <c r="BC71">
        <v>287</v>
      </c>
      <c r="BD71" t="s">
        <v>74</v>
      </c>
      <c r="BE71" t="s">
        <v>1234</v>
      </c>
      <c r="BF71" t="str">
        <f>HYPERLINK("http://dx.doi.org/10.1017/S0954102005002683","http://dx.doi.org/10.1017/S0954102005002683")</f>
        <v>http://dx.doi.org/10.1017/S0954102005002683</v>
      </c>
      <c r="BG71" t="s">
        <v>74</v>
      </c>
      <c r="BH71" t="s">
        <v>74</v>
      </c>
      <c r="BI71">
        <v>7</v>
      </c>
      <c r="BJ71" t="s">
        <v>1074</v>
      </c>
      <c r="BK71" t="s">
        <v>95</v>
      </c>
      <c r="BL71" t="s">
        <v>1075</v>
      </c>
      <c r="BM71" t="s">
        <v>1076</v>
      </c>
      <c r="BN71" t="s">
        <v>74</v>
      </c>
      <c r="BO71" t="s">
        <v>74</v>
      </c>
      <c r="BP71" t="s">
        <v>74</v>
      </c>
      <c r="BQ71" t="s">
        <v>74</v>
      </c>
      <c r="BR71" t="s">
        <v>97</v>
      </c>
      <c r="BS71" t="s">
        <v>1235</v>
      </c>
      <c r="BT71" t="str">
        <f>HYPERLINK("https%3A%2F%2Fwww.webofscience.com%2Fwos%2Fwoscc%2Ffull-record%2FWOS:000230508300014","View Full Record in Web of Science")</f>
        <v>View Full Record in Web of Science</v>
      </c>
    </row>
    <row r="72" spans="1:72" x14ac:dyDescent="0.15">
      <c r="A72" t="s">
        <v>72</v>
      </c>
      <c r="B72" t="s">
        <v>1236</v>
      </c>
      <c r="C72" t="s">
        <v>74</v>
      </c>
      <c r="D72" t="s">
        <v>74</v>
      </c>
      <c r="E72" t="s">
        <v>74</v>
      </c>
      <c r="F72" t="s">
        <v>1236</v>
      </c>
      <c r="G72" t="s">
        <v>74</v>
      </c>
      <c r="H72" t="s">
        <v>74</v>
      </c>
      <c r="I72" t="s">
        <v>1237</v>
      </c>
      <c r="J72" t="s">
        <v>1067</v>
      </c>
      <c r="K72" t="s">
        <v>74</v>
      </c>
      <c r="L72" t="s">
        <v>74</v>
      </c>
      <c r="M72" t="s">
        <v>77</v>
      </c>
      <c r="N72" t="s">
        <v>78</v>
      </c>
      <c r="O72" t="s">
        <v>74</v>
      </c>
      <c r="P72" t="s">
        <v>74</v>
      </c>
      <c r="Q72" t="s">
        <v>74</v>
      </c>
      <c r="R72" t="s">
        <v>74</v>
      </c>
      <c r="S72" t="s">
        <v>74</v>
      </c>
      <c r="T72" t="s">
        <v>1238</v>
      </c>
      <c r="U72" t="s">
        <v>1239</v>
      </c>
      <c r="V72" t="s">
        <v>1240</v>
      </c>
      <c r="W72" t="s">
        <v>1241</v>
      </c>
      <c r="X72" t="s">
        <v>1242</v>
      </c>
      <c r="Y72" t="s">
        <v>1243</v>
      </c>
      <c r="Z72" t="s">
        <v>1244</v>
      </c>
      <c r="AA72" t="s">
        <v>1245</v>
      </c>
      <c r="AB72" t="s">
        <v>1246</v>
      </c>
      <c r="AC72" t="s">
        <v>74</v>
      </c>
      <c r="AD72" t="s">
        <v>74</v>
      </c>
      <c r="AE72" t="s">
        <v>74</v>
      </c>
      <c r="AF72" t="s">
        <v>74</v>
      </c>
      <c r="AG72">
        <v>43</v>
      </c>
      <c r="AH72">
        <v>77</v>
      </c>
      <c r="AI72">
        <v>81</v>
      </c>
      <c r="AJ72">
        <v>0</v>
      </c>
      <c r="AK72">
        <v>34</v>
      </c>
      <c r="AL72" t="s">
        <v>212</v>
      </c>
      <c r="AM72" t="s">
        <v>134</v>
      </c>
      <c r="AN72" t="s">
        <v>213</v>
      </c>
      <c r="AO72" t="s">
        <v>1069</v>
      </c>
      <c r="AP72" t="s">
        <v>74</v>
      </c>
      <c r="AQ72" t="s">
        <v>74</v>
      </c>
      <c r="AR72" t="s">
        <v>1070</v>
      </c>
      <c r="AS72" t="s">
        <v>1071</v>
      </c>
      <c r="AT72" t="s">
        <v>1072</v>
      </c>
      <c r="AU72">
        <v>2005</v>
      </c>
      <c r="AV72">
        <v>17</v>
      </c>
      <c r="AW72">
        <v>2</v>
      </c>
      <c r="AX72" t="s">
        <v>74</v>
      </c>
      <c r="AY72" t="s">
        <v>74</v>
      </c>
      <c r="AZ72" t="s">
        <v>74</v>
      </c>
      <c r="BA72" t="s">
        <v>74</v>
      </c>
      <c r="BB72">
        <v>289</v>
      </c>
      <c r="BC72">
        <v>300</v>
      </c>
      <c r="BD72" t="s">
        <v>74</v>
      </c>
      <c r="BE72" t="s">
        <v>1247</v>
      </c>
      <c r="BF72" t="str">
        <f>HYPERLINK("http://dx.doi.org/10.1017/S0954102005002695","http://dx.doi.org/10.1017/S0954102005002695")</f>
        <v>http://dx.doi.org/10.1017/S0954102005002695</v>
      </c>
      <c r="BG72" t="s">
        <v>74</v>
      </c>
      <c r="BH72" t="s">
        <v>74</v>
      </c>
      <c r="BI72">
        <v>12</v>
      </c>
      <c r="BJ72" t="s">
        <v>1074</v>
      </c>
      <c r="BK72" t="s">
        <v>95</v>
      </c>
      <c r="BL72" t="s">
        <v>1075</v>
      </c>
      <c r="BM72" t="s">
        <v>1076</v>
      </c>
      <c r="BN72" t="s">
        <v>74</v>
      </c>
      <c r="BO72" t="s">
        <v>74</v>
      </c>
      <c r="BP72" t="s">
        <v>74</v>
      </c>
      <c r="BQ72" t="s">
        <v>74</v>
      </c>
      <c r="BR72" t="s">
        <v>97</v>
      </c>
      <c r="BS72" t="s">
        <v>1248</v>
      </c>
      <c r="BT72" t="str">
        <f>HYPERLINK("https%3A%2F%2Fwww.webofscience.com%2Fwos%2Fwoscc%2Ffull-record%2FWOS:000230508300015","View Full Record in Web of Science")</f>
        <v>View Full Record in Web of Science</v>
      </c>
    </row>
    <row r="73" spans="1:72" x14ac:dyDescent="0.15">
      <c r="A73" t="s">
        <v>72</v>
      </c>
      <c r="B73" t="s">
        <v>1249</v>
      </c>
      <c r="C73" t="s">
        <v>74</v>
      </c>
      <c r="D73" t="s">
        <v>74</v>
      </c>
      <c r="E73" t="s">
        <v>74</v>
      </c>
      <c r="F73" t="s">
        <v>1249</v>
      </c>
      <c r="G73" t="s">
        <v>74</v>
      </c>
      <c r="H73" t="s">
        <v>74</v>
      </c>
      <c r="I73" t="s">
        <v>1250</v>
      </c>
      <c r="J73" t="s">
        <v>1251</v>
      </c>
      <c r="K73" t="s">
        <v>74</v>
      </c>
      <c r="L73" t="s">
        <v>74</v>
      </c>
      <c r="M73" t="s">
        <v>77</v>
      </c>
      <c r="N73" t="s">
        <v>495</v>
      </c>
      <c r="O73" t="s">
        <v>1252</v>
      </c>
      <c r="P73" t="s">
        <v>1253</v>
      </c>
      <c r="Q73" t="s">
        <v>1254</v>
      </c>
      <c r="R73" t="s">
        <v>74</v>
      </c>
      <c r="S73" t="s">
        <v>74</v>
      </c>
      <c r="T73" t="s">
        <v>1255</v>
      </c>
      <c r="U73" t="s">
        <v>1256</v>
      </c>
      <c r="V73" t="s">
        <v>1257</v>
      </c>
      <c r="W73" t="s">
        <v>1258</v>
      </c>
      <c r="X73" t="s">
        <v>1259</v>
      </c>
      <c r="Y73" t="s">
        <v>1260</v>
      </c>
      <c r="Z73" t="s">
        <v>1261</v>
      </c>
      <c r="AA73" t="s">
        <v>74</v>
      </c>
      <c r="AB73" t="s">
        <v>74</v>
      </c>
      <c r="AC73" t="s">
        <v>74</v>
      </c>
      <c r="AD73" t="s">
        <v>74</v>
      </c>
      <c r="AE73" t="s">
        <v>74</v>
      </c>
      <c r="AF73" t="s">
        <v>74</v>
      </c>
      <c r="AG73">
        <v>31</v>
      </c>
      <c r="AH73">
        <v>35</v>
      </c>
      <c r="AI73">
        <v>40</v>
      </c>
      <c r="AJ73">
        <v>0</v>
      </c>
      <c r="AK73">
        <v>9</v>
      </c>
      <c r="AL73" t="s">
        <v>1262</v>
      </c>
      <c r="AM73" t="s">
        <v>1263</v>
      </c>
      <c r="AN73" t="s">
        <v>1264</v>
      </c>
      <c r="AO73" t="s">
        <v>1265</v>
      </c>
      <c r="AP73" t="s">
        <v>1266</v>
      </c>
      <c r="AQ73" t="s">
        <v>74</v>
      </c>
      <c r="AR73" t="s">
        <v>1267</v>
      </c>
      <c r="AS73" t="s">
        <v>1268</v>
      </c>
      <c r="AT73" t="s">
        <v>1072</v>
      </c>
      <c r="AU73">
        <v>2005</v>
      </c>
      <c r="AV73">
        <v>76</v>
      </c>
      <c r="AW73">
        <v>6</v>
      </c>
      <c r="AX73" t="s">
        <v>74</v>
      </c>
      <c r="AY73" t="s">
        <v>1269</v>
      </c>
      <c r="AZ73" t="s">
        <v>74</v>
      </c>
      <c r="BA73" t="s">
        <v>74</v>
      </c>
      <c r="BB73" t="s">
        <v>1270</v>
      </c>
      <c r="BC73" t="s">
        <v>1271</v>
      </c>
      <c r="BD73" t="s">
        <v>74</v>
      </c>
      <c r="BE73" t="s">
        <v>74</v>
      </c>
      <c r="BF73" t="s">
        <v>74</v>
      </c>
      <c r="BG73" t="s">
        <v>74</v>
      </c>
      <c r="BH73" t="s">
        <v>74</v>
      </c>
      <c r="BI73">
        <v>4</v>
      </c>
      <c r="BJ73" t="s">
        <v>1272</v>
      </c>
      <c r="BK73" t="s">
        <v>514</v>
      </c>
      <c r="BL73" t="s">
        <v>1273</v>
      </c>
      <c r="BM73" t="s">
        <v>1274</v>
      </c>
      <c r="BN73">
        <v>15943198</v>
      </c>
      <c r="BO73" t="s">
        <v>74</v>
      </c>
      <c r="BP73" t="s">
        <v>74</v>
      </c>
      <c r="BQ73" t="s">
        <v>74</v>
      </c>
      <c r="BR73" t="s">
        <v>97</v>
      </c>
      <c r="BS73" t="s">
        <v>1275</v>
      </c>
      <c r="BT73" t="str">
        <f>HYPERLINK("https%3A%2F%2Fwww.webofscience.com%2Fwos%2Fwoscc%2Ffull-record%2FWOS:000229616600011","View Full Record in Web of Science")</f>
        <v>View Full Record in Web of Science</v>
      </c>
    </row>
    <row r="74" spans="1:72" x14ac:dyDescent="0.15">
      <c r="A74" t="s">
        <v>72</v>
      </c>
      <c r="B74" t="s">
        <v>1276</v>
      </c>
      <c r="C74" t="s">
        <v>74</v>
      </c>
      <c r="D74" t="s">
        <v>74</v>
      </c>
      <c r="E74" t="s">
        <v>74</v>
      </c>
      <c r="F74" t="s">
        <v>1276</v>
      </c>
      <c r="G74" t="s">
        <v>74</v>
      </c>
      <c r="H74" t="s">
        <v>74</v>
      </c>
      <c r="I74" t="s">
        <v>1277</v>
      </c>
      <c r="J74" t="s">
        <v>1251</v>
      </c>
      <c r="K74" t="s">
        <v>74</v>
      </c>
      <c r="L74" t="s">
        <v>74</v>
      </c>
      <c r="M74" t="s">
        <v>77</v>
      </c>
      <c r="N74" t="s">
        <v>495</v>
      </c>
      <c r="O74" t="s">
        <v>1252</v>
      </c>
      <c r="P74" t="s">
        <v>1253</v>
      </c>
      <c r="Q74" t="s">
        <v>1254</v>
      </c>
      <c r="R74" t="s">
        <v>74</v>
      </c>
      <c r="S74" t="s">
        <v>74</v>
      </c>
      <c r="T74" t="s">
        <v>1278</v>
      </c>
      <c r="U74" t="s">
        <v>1279</v>
      </c>
      <c r="V74" t="s">
        <v>1280</v>
      </c>
      <c r="W74" t="s">
        <v>1281</v>
      </c>
      <c r="X74" t="s">
        <v>1020</v>
      </c>
      <c r="Y74" t="s">
        <v>1282</v>
      </c>
      <c r="Z74" t="s">
        <v>1283</v>
      </c>
      <c r="AA74" t="s">
        <v>74</v>
      </c>
      <c r="AB74" t="s">
        <v>1284</v>
      </c>
      <c r="AC74" t="s">
        <v>74</v>
      </c>
      <c r="AD74" t="s">
        <v>74</v>
      </c>
      <c r="AE74" t="s">
        <v>74</v>
      </c>
      <c r="AF74" t="s">
        <v>74</v>
      </c>
      <c r="AG74">
        <v>28</v>
      </c>
      <c r="AH74">
        <v>8</v>
      </c>
      <c r="AI74">
        <v>9</v>
      </c>
      <c r="AJ74">
        <v>1</v>
      </c>
      <c r="AK74">
        <v>10</v>
      </c>
      <c r="AL74" t="s">
        <v>1262</v>
      </c>
      <c r="AM74" t="s">
        <v>1263</v>
      </c>
      <c r="AN74" t="s">
        <v>1264</v>
      </c>
      <c r="AO74" t="s">
        <v>1265</v>
      </c>
      <c r="AP74" t="s">
        <v>1266</v>
      </c>
      <c r="AQ74" t="s">
        <v>74</v>
      </c>
      <c r="AR74" t="s">
        <v>1267</v>
      </c>
      <c r="AS74" t="s">
        <v>1268</v>
      </c>
      <c r="AT74" t="s">
        <v>1072</v>
      </c>
      <c r="AU74">
        <v>2005</v>
      </c>
      <c r="AV74">
        <v>76</v>
      </c>
      <c r="AW74">
        <v>6</v>
      </c>
      <c r="AX74" t="s">
        <v>74</v>
      </c>
      <c r="AY74" t="s">
        <v>1269</v>
      </c>
      <c r="AZ74" t="s">
        <v>74</v>
      </c>
      <c r="BA74" t="s">
        <v>74</v>
      </c>
      <c r="BB74" t="s">
        <v>1285</v>
      </c>
      <c r="BC74" t="s">
        <v>1286</v>
      </c>
      <c r="BD74" t="s">
        <v>74</v>
      </c>
      <c r="BE74" t="s">
        <v>74</v>
      </c>
      <c r="BF74" t="s">
        <v>74</v>
      </c>
      <c r="BG74" t="s">
        <v>74</v>
      </c>
      <c r="BH74" t="s">
        <v>74</v>
      </c>
      <c r="BI74">
        <v>7</v>
      </c>
      <c r="BJ74" t="s">
        <v>1272</v>
      </c>
      <c r="BK74" t="s">
        <v>1287</v>
      </c>
      <c r="BL74" t="s">
        <v>1273</v>
      </c>
      <c r="BM74" t="s">
        <v>1274</v>
      </c>
      <c r="BN74">
        <v>15943204</v>
      </c>
      <c r="BO74" t="s">
        <v>74</v>
      </c>
      <c r="BP74" t="s">
        <v>74</v>
      </c>
      <c r="BQ74" t="s">
        <v>74</v>
      </c>
      <c r="BR74" t="s">
        <v>97</v>
      </c>
      <c r="BS74" t="s">
        <v>1288</v>
      </c>
      <c r="BT74" t="str">
        <f>HYPERLINK("https%3A%2F%2Fwww.webofscience.com%2Fwos%2Fwoscc%2Ffull-record%2FWOS:000229616600017","View Full Record in Web of Science")</f>
        <v>View Full Record in Web of Science</v>
      </c>
    </row>
    <row r="75" spans="1:72" x14ac:dyDescent="0.15">
      <c r="A75" t="s">
        <v>72</v>
      </c>
      <c r="B75" t="s">
        <v>1289</v>
      </c>
      <c r="C75" t="s">
        <v>74</v>
      </c>
      <c r="D75" t="s">
        <v>74</v>
      </c>
      <c r="E75" t="s">
        <v>74</v>
      </c>
      <c r="F75" t="s">
        <v>1289</v>
      </c>
      <c r="G75" t="s">
        <v>74</v>
      </c>
      <c r="H75" t="s">
        <v>74</v>
      </c>
      <c r="I75" t="s">
        <v>1290</v>
      </c>
      <c r="J75" t="s">
        <v>1251</v>
      </c>
      <c r="K75" t="s">
        <v>74</v>
      </c>
      <c r="L75" t="s">
        <v>74</v>
      </c>
      <c r="M75" t="s">
        <v>77</v>
      </c>
      <c r="N75" t="s">
        <v>495</v>
      </c>
      <c r="O75" t="s">
        <v>1252</v>
      </c>
      <c r="P75" t="s">
        <v>1253</v>
      </c>
      <c r="Q75" t="s">
        <v>1254</v>
      </c>
      <c r="R75" t="s">
        <v>74</v>
      </c>
      <c r="S75" t="s">
        <v>74</v>
      </c>
      <c r="T75" t="s">
        <v>1291</v>
      </c>
      <c r="U75" t="s">
        <v>74</v>
      </c>
      <c r="V75" t="s">
        <v>1292</v>
      </c>
      <c r="W75" t="s">
        <v>1293</v>
      </c>
      <c r="X75" t="s">
        <v>1294</v>
      </c>
      <c r="Y75" t="s">
        <v>1295</v>
      </c>
      <c r="Z75" t="s">
        <v>1296</v>
      </c>
      <c r="AA75" t="s">
        <v>1297</v>
      </c>
      <c r="AB75" t="s">
        <v>1298</v>
      </c>
      <c r="AC75" t="s">
        <v>74</v>
      </c>
      <c r="AD75" t="s">
        <v>74</v>
      </c>
      <c r="AE75" t="s">
        <v>74</v>
      </c>
      <c r="AF75" t="s">
        <v>74</v>
      </c>
      <c r="AG75">
        <v>35</v>
      </c>
      <c r="AH75">
        <v>8</v>
      </c>
      <c r="AI75">
        <v>10</v>
      </c>
      <c r="AJ75">
        <v>0</v>
      </c>
      <c r="AK75">
        <v>10</v>
      </c>
      <c r="AL75" t="s">
        <v>1262</v>
      </c>
      <c r="AM75" t="s">
        <v>1263</v>
      </c>
      <c r="AN75" t="s">
        <v>1264</v>
      </c>
      <c r="AO75" t="s">
        <v>1265</v>
      </c>
      <c r="AP75" t="s">
        <v>1266</v>
      </c>
      <c r="AQ75" t="s">
        <v>74</v>
      </c>
      <c r="AR75" t="s">
        <v>1267</v>
      </c>
      <c r="AS75" t="s">
        <v>1268</v>
      </c>
      <c r="AT75" t="s">
        <v>1072</v>
      </c>
      <c r="AU75">
        <v>2005</v>
      </c>
      <c r="AV75">
        <v>76</v>
      </c>
      <c r="AW75">
        <v>6</v>
      </c>
      <c r="AX75" t="s">
        <v>74</v>
      </c>
      <c r="AY75" t="s">
        <v>1269</v>
      </c>
      <c r="AZ75" t="s">
        <v>74</v>
      </c>
      <c r="BA75" t="s">
        <v>74</v>
      </c>
      <c r="BB75" t="s">
        <v>1299</v>
      </c>
      <c r="BC75" t="s">
        <v>1300</v>
      </c>
      <c r="BD75" t="s">
        <v>74</v>
      </c>
      <c r="BE75" t="s">
        <v>74</v>
      </c>
      <c r="BF75" t="s">
        <v>74</v>
      </c>
      <c r="BG75" t="s">
        <v>74</v>
      </c>
      <c r="BH75" t="s">
        <v>74</v>
      </c>
      <c r="BI75">
        <v>7</v>
      </c>
      <c r="BJ75" t="s">
        <v>1272</v>
      </c>
      <c r="BK75" t="s">
        <v>1287</v>
      </c>
      <c r="BL75" t="s">
        <v>1273</v>
      </c>
      <c r="BM75" t="s">
        <v>1274</v>
      </c>
      <c r="BN75">
        <v>15943197</v>
      </c>
      <c r="BO75" t="s">
        <v>74</v>
      </c>
      <c r="BP75" t="s">
        <v>74</v>
      </c>
      <c r="BQ75" t="s">
        <v>74</v>
      </c>
      <c r="BR75" t="s">
        <v>97</v>
      </c>
      <c r="BS75" t="s">
        <v>1301</v>
      </c>
      <c r="BT75" t="str">
        <f>HYPERLINK("https%3A%2F%2Fwww.webofscience.com%2Fwos%2Fwoscc%2Ffull-record%2FWOS:000229616600010","View Full Record in Web of Science")</f>
        <v>View Full Record in Web of Science</v>
      </c>
    </row>
    <row r="76" spans="1:72" x14ac:dyDescent="0.15">
      <c r="A76" t="s">
        <v>72</v>
      </c>
      <c r="B76" t="s">
        <v>1302</v>
      </c>
      <c r="C76" t="s">
        <v>74</v>
      </c>
      <c r="D76" t="s">
        <v>74</v>
      </c>
      <c r="E76" t="s">
        <v>74</v>
      </c>
      <c r="F76" t="s">
        <v>1302</v>
      </c>
      <c r="G76" t="s">
        <v>74</v>
      </c>
      <c r="H76" t="s">
        <v>74</v>
      </c>
      <c r="I76" t="s">
        <v>1303</v>
      </c>
      <c r="J76" t="s">
        <v>1251</v>
      </c>
      <c r="K76" t="s">
        <v>74</v>
      </c>
      <c r="L76" t="s">
        <v>74</v>
      </c>
      <c r="M76" t="s">
        <v>77</v>
      </c>
      <c r="N76" t="s">
        <v>495</v>
      </c>
      <c r="O76" t="s">
        <v>1252</v>
      </c>
      <c r="P76" t="s">
        <v>1253</v>
      </c>
      <c r="Q76" t="s">
        <v>1254</v>
      </c>
      <c r="R76" t="s">
        <v>74</v>
      </c>
      <c r="S76" t="s">
        <v>74</v>
      </c>
      <c r="T76" t="s">
        <v>1304</v>
      </c>
      <c r="U76" t="s">
        <v>74</v>
      </c>
      <c r="V76" t="s">
        <v>1305</v>
      </c>
      <c r="W76" t="s">
        <v>1306</v>
      </c>
      <c r="X76" t="s">
        <v>1307</v>
      </c>
      <c r="Y76" t="s">
        <v>1308</v>
      </c>
      <c r="Z76" t="s">
        <v>1261</v>
      </c>
      <c r="AA76" t="s">
        <v>74</v>
      </c>
      <c r="AB76" t="s">
        <v>1309</v>
      </c>
      <c r="AC76" t="s">
        <v>74</v>
      </c>
      <c r="AD76" t="s">
        <v>74</v>
      </c>
      <c r="AE76" t="s">
        <v>74</v>
      </c>
      <c r="AF76" t="s">
        <v>74</v>
      </c>
      <c r="AG76">
        <v>13</v>
      </c>
      <c r="AH76">
        <v>16</v>
      </c>
      <c r="AI76">
        <v>21</v>
      </c>
      <c r="AJ76">
        <v>1</v>
      </c>
      <c r="AK76">
        <v>8</v>
      </c>
      <c r="AL76" t="s">
        <v>1262</v>
      </c>
      <c r="AM76" t="s">
        <v>1263</v>
      </c>
      <c r="AN76" t="s">
        <v>1264</v>
      </c>
      <c r="AO76" t="s">
        <v>1265</v>
      </c>
      <c r="AP76" t="s">
        <v>1266</v>
      </c>
      <c r="AQ76" t="s">
        <v>74</v>
      </c>
      <c r="AR76" t="s">
        <v>1267</v>
      </c>
      <c r="AS76" t="s">
        <v>1268</v>
      </c>
      <c r="AT76" t="s">
        <v>1072</v>
      </c>
      <c r="AU76">
        <v>2005</v>
      </c>
      <c r="AV76">
        <v>76</v>
      </c>
      <c r="AW76">
        <v>6</v>
      </c>
      <c r="AX76" t="s">
        <v>74</v>
      </c>
      <c r="AY76" t="s">
        <v>1269</v>
      </c>
      <c r="AZ76" t="s">
        <v>74</v>
      </c>
      <c r="BA76" t="s">
        <v>74</v>
      </c>
      <c r="BB76" t="s">
        <v>1310</v>
      </c>
      <c r="BC76" t="s">
        <v>1311</v>
      </c>
      <c r="BD76" t="s">
        <v>74</v>
      </c>
      <c r="BE76" t="s">
        <v>74</v>
      </c>
      <c r="BF76" t="s">
        <v>74</v>
      </c>
      <c r="BG76" t="s">
        <v>74</v>
      </c>
      <c r="BH76" t="s">
        <v>74</v>
      </c>
      <c r="BI76">
        <v>5</v>
      </c>
      <c r="BJ76" t="s">
        <v>1272</v>
      </c>
      <c r="BK76" t="s">
        <v>1287</v>
      </c>
      <c r="BL76" t="s">
        <v>1273</v>
      </c>
      <c r="BM76" t="s">
        <v>1274</v>
      </c>
      <c r="BN76">
        <v>15943201</v>
      </c>
      <c r="BO76" t="s">
        <v>74</v>
      </c>
      <c r="BP76" t="s">
        <v>74</v>
      </c>
      <c r="BQ76" t="s">
        <v>74</v>
      </c>
      <c r="BR76" t="s">
        <v>97</v>
      </c>
      <c r="BS76" t="s">
        <v>1312</v>
      </c>
      <c r="BT76" t="str">
        <f>HYPERLINK("https%3A%2F%2Fwww.webofscience.com%2Fwos%2Fwoscc%2Ffull-record%2FWOS:000229616600014","View Full Record in Web of Science")</f>
        <v>View Full Record in Web of Science</v>
      </c>
    </row>
    <row r="77" spans="1:72" x14ac:dyDescent="0.15">
      <c r="A77" t="s">
        <v>72</v>
      </c>
      <c r="B77" t="s">
        <v>1313</v>
      </c>
      <c r="C77" t="s">
        <v>74</v>
      </c>
      <c r="D77" t="s">
        <v>74</v>
      </c>
      <c r="E77" t="s">
        <v>74</v>
      </c>
      <c r="F77" t="s">
        <v>1313</v>
      </c>
      <c r="G77" t="s">
        <v>74</v>
      </c>
      <c r="H77" t="s">
        <v>74</v>
      </c>
      <c r="I77" t="s">
        <v>1314</v>
      </c>
      <c r="J77" t="s">
        <v>1315</v>
      </c>
      <c r="K77" t="s">
        <v>74</v>
      </c>
      <c r="L77" t="s">
        <v>74</v>
      </c>
      <c r="M77" t="s">
        <v>77</v>
      </c>
      <c r="N77" t="s">
        <v>78</v>
      </c>
      <c r="O77" t="s">
        <v>74</v>
      </c>
      <c r="P77" t="s">
        <v>74</v>
      </c>
      <c r="Q77" t="s">
        <v>74</v>
      </c>
      <c r="R77" t="s">
        <v>74</v>
      </c>
      <c r="S77" t="s">
        <v>74</v>
      </c>
      <c r="T77" t="s">
        <v>1316</v>
      </c>
      <c r="U77" t="s">
        <v>1317</v>
      </c>
      <c r="V77" t="s">
        <v>1318</v>
      </c>
      <c r="W77" t="s">
        <v>1319</v>
      </c>
      <c r="X77" t="s">
        <v>1320</v>
      </c>
      <c r="Y77" t="s">
        <v>1321</v>
      </c>
      <c r="Z77" t="s">
        <v>1322</v>
      </c>
      <c r="AA77" t="s">
        <v>1323</v>
      </c>
      <c r="AB77" t="s">
        <v>1324</v>
      </c>
      <c r="AC77" t="s">
        <v>74</v>
      </c>
      <c r="AD77" t="s">
        <v>74</v>
      </c>
      <c r="AE77" t="s">
        <v>74</v>
      </c>
      <c r="AF77" t="s">
        <v>74</v>
      </c>
      <c r="AG77">
        <v>54</v>
      </c>
      <c r="AH77">
        <v>119</v>
      </c>
      <c r="AI77">
        <v>129</v>
      </c>
      <c r="AJ77">
        <v>1</v>
      </c>
      <c r="AK77">
        <v>32</v>
      </c>
      <c r="AL77" t="s">
        <v>456</v>
      </c>
      <c r="AM77" t="s">
        <v>436</v>
      </c>
      <c r="AN77" t="s">
        <v>457</v>
      </c>
      <c r="AO77" t="s">
        <v>1325</v>
      </c>
      <c r="AP77" t="s">
        <v>74</v>
      </c>
      <c r="AQ77" t="s">
        <v>74</v>
      </c>
      <c r="AR77" t="s">
        <v>1326</v>
      </c>
      <c r="AS77" t="s">
        <v>1327</v>
      </c>
      <c r="AT77" t="s">
        <v>1328</v>
      </c>
      <c r="AU77">
        <v>2005</v>
      </c>
      <c r="AV77">
        <v>1734</v>
      </c>
      <c r="AW77">
        <v>3</v>
      </c>
      <c r="AX77" t="s">
        <v>74</v>
      </c>
      <c r="AY77" t="s">
        <v>74</v>
      </c>
      <c r="AZ77" t="s">
        <v>74</v>
      </c>
      <c r="BA77" t="s">
        <v>74</v>
      </c>
      <c r="BB77">
        <v>277</v>
      </c>
      <c r="BC77">
        <v>288</v>
      </c>
      <c r="BD77" t="s">
        <v>74</v>
      </c>
      <c r="BE77" t="s">
        <v>1329</v>
      </c>
      <c r="BF77" t="str">
        <f>HYPERLINK("http://dx.doi.org/10.1016/j.bbalip.2005.04.003","http://dx.doi.org/10.1016/j.bbalip.2005.04.003")</f>
        <v>http://dx.doi.org/10.1016/j.bbalip.2005.04.003</v>
      </c>
      <c r="BG77" t="s">
        <v>74</v>
      </c>
      <c r="BH77" t="s">
        <v>74</v>
      </c>
      <c r="BI77">
        <v>12</v>
      </c>
      <c r="BJ77" t="s">
        <v>1330</v>
      </c>
      <c r="BK77" t="s">
        <v>95</v>
      </c>
      <c r="BL77" t="s">
        <v>1330</v>
      </c>
      <c r="BM77" t="s">
        <v>1331</v>
      </c>
      <c r="BN77">
        <v>15921956</v>
      </c>
      <c r="BO77" t="s">
        <v>1165</v>
      </c>
      <c r="BP77" t="s">
        <v>74</v>
      </c>
      <c r="BQ77" t="s">
        <v>74</v>
      </c>
      <c r="BR77" t="s">
        <v>97</v>
      </c>
      <c r="BS77" t="s">
        <v>1332</v>
      </c>
      <c r="BT77" t="str">
        <f>HYPERLINK("https%3A%2F%2Fwww.webofscience.com%2Fwos%2Fwoscc%2Ffull-record%2FWOS:000230060900007","View Full Record in Web of Science")</f>
        <v>View Full Record in Web of Science</v>
      </c>
    </row>
    <row r="78" spans="1:72" x14ac:dyDescent="0.15">
      <c r="A78" t="s">
        <v>72</v>
      </c>
      <c r="B78" t="s">
        <v>1333</v>
      </c>
      <c r="C78" t="s">
        <v>74</v>
      </c>
      <c r="D78" t="s">
        <v>74</v>
      </c>
      <c r="E78" t="s">
        <v>74</v>
      </c>
      <c r="F78" t="s">
        <v>1333</v>
      </c>
      <c r="G78" t="s">
        <v>74</v>
      </c>
      <c r="H78" t="s">
        <v>74</v>
      </c>
      <c r="I78" t="s">
        <v>1334</v>
      </c>
      <c r="J78" t="s">
        <v>1335</v>
      </c>
      <c r="K78" t="s">
        <v>74</v>
      </c>
      <c r="L78" t="s">
        <v>74</v>
      </c>
      <c r="M78" t="s">
        <v>77</v>
      </c>
      <c r="N78" t="s">
        <v>78</v>
      </c>
      <c r="O78" t="s">
        <v>74</v>
      </c>
      <c r="P78" t="s">
        <v>74</v>
      </c>
      <c r="Q78" t="s">
        <v>74</v>
      </c>
      <c r="R78" t="s">
        <v>74</v>
      </c>
      <c r="S78" t="s">
        <v>74</v>
      </c>
      <c r="T78" t="s">
        <v>1336</v>
      </c>
      <c r="U78" t="s">
        <v>1337</v>
      </c>
      <c r="V78" t="s">
        <v>1338</v>
      </c>
      <c r="W78" t="s">
        <v>1339</v>
      </c>
      <c r="X78" t="s">
        <v>1340</v>
      </c>
      <c r="Y78" t="s">
        <v>1341</v>
      </c>
      <c r="Z78" t="s">
        <v>1342</v>
      </c>
      <c r="AA78" t="s">
        <v>1343</v>
      </c>
      <c r="AB78" t="s">
        <v>1344</v>
      </c>
      <c r="AC78" t="s">
        <v>74</v>
      </c>
      <c r="AD78" t="s">
        <v>74</v>
      </c>
      <c r="AE78" t="s">
        <v>74</v>
      </c>
      <c r="AF78" t="s">
        <v>74</v>
      </c>
      <c r="AG78">
        <v>27</v>
      </c>
      <c r="AH78">
        <v>62</v>
      </c>
      <c r="AI78">
        <v>66</v>
      </c>
      <c r="AJ78">
        <v>0</v>
      </c>
      <c r="AK78">
        <v>14</v>
      </c>
      <c r="AL78" t="s">
        <v>133</v>
      </c>
      <c r="AM78" t="s">
        <v>374</v>
      </c>
      <c r="AN78" t="s">
        <v>375</v>
      </c>
      <c r="AO78" t="s">
        <v>1345</v>
      </c>
      <c r="AP78" t="s">
        <v>74</v>
      </c>
      <c r="AQ78" t="s">
        <v>74</v>
      </c>
      <c r="AR78" t="s">
        <v>1346</v>
      </c>
      <c r="AS78" t="s">
        <v>1347</v>
      </c>
      <c r="AT78" t="s">
        <v>1072</v>
      </c>
      <c r="AU78">
        <v>2005</v>
      </c>
      <c r="AV78">
        <v>115</v>
      </c>
      <c r="AW78">
        <v>3</v>
      </c>
      <c r="AX78" t="s">
        <v>74</v>
      </c>
      <c r="AY78" t="s">
        <v>74</v>
      </c>
      <c r="AZ78" t="s">
        <v>74</v>
      </c>
      <c r="BA78" t="s">
        <v>74</v>
      </c>
      <c r="BB78">
        <v>409</v>
      </c>
      <c r="BC78">
        <v>422</v>
      </c>
      <c r="BD78" t="s">
        <v>74</v>
      </c>
      <c r="BE78" t="s">
        <v>1348</v>
      </c>
      <c r="BF78" t="str">
        <f>HYPERLINK("http://dx.doi.org/10.1007/s10546-004-5643-6","http://dx.doi.org/10.1007/s10546-004-5643-6")</f>
        <v>http://dx.doi.org/10.1007/s10546-004-5643-6</v>
      </c>
      <c r="BG78" t="s">
        <v>74</v>
      </c>
      <c r="BH78" t="s">
        <v>74</v>
      </c>
      <c r="BI78">
        <v>14</v>
      </c>
      <c r="BJ78" t="s">
        <v>401</v>
      </c>
      <c r="BK78" t="s">
        <v>95</v>
      </c>
      <c r="BL78" t="s">
        <v>401</v>
      </c>
      <c r="BM78" t="s">
        <v>1349</v>
      </c>
      <c r="BN78" t="s">
        <v>74</v>
      </c>
      <c r="BO78" t="s">
        <v>74</v>
      </c>
      <c r="BP78" t="s">
        <v>74</v>
      </c>
      <c r="BQ78" t="s">
        <v>74</v>
      </c>
      <c r="BR78" t="s">
        <v>97</v>
      </c>
      <c r="BS78" t="s">
        <v>1350</v>
      </c>
      <c r="BT78" t="str">
        <f>HYPERLINK("https%3A%2F%2Fwww.webofscience.com%2Fwos%2Fwoscc%2Ffull-record%2FWOS:000230316600005","View Full Record in Web of Science")</f>
        <v>View Full Record in Web of Science</v>
      </c>
    </row>
    <row r="79" spans="1:72" x14ac:dyDescent="0.15">
      <c r="A79" t="s">
        <v>72</v>
      </c>
      <c r="B79" t="s">
        <v>1351</v>
      </c>
      <c r="C79" t="s">
        <v>74</v>
      </c>
      <c r="D79" t="s">
        <v>74</v>
      </c>
      <c r="E79" t="s">
        <v>74</v>
      </c>
      <c r="F79" t="s">
        <v>1351</v>
      </c>
      <c r="G79" t="s">
        <v>74</v>
      </c>
      <c r="H79" t="s">
        <v>74</v>
      </c>
      <c r="I79" t="s">
        <v>1352</v>
      </c>
      <c r="J79" t="s">
        <v>1353</v>
      </c>
      <c r="K79" t="s">
        <v>74</v>
      </c>
      <c r="L79" t="s">
        <v>74</v>
      </c>
      <c r="M79" t="s">
        <v>77</v>
      </c>
      <c r="N79" t="s">
        <v>78</v>
      </c>
      <c r="O79" t="s">
        <v>74</v>
      </c>
      <c r="P79" t="s">
        <v>74</v>
      </c>
      <c r="Q79" t="s">
        <v>74</v>
      </c>
      <c r="R79" t="s">
        <v>74</v>
      </c>
      <c r="S79" t="s">
        <v>74</v>
      </c>
      <c r="T79" t="s">
        <v>1354</v>
      </c>
      <c r="U79" t="s">
        <v>1355</v>
      </c>
      <c r="V79" t="s">
        <v>1356</v>
      </c>
      <c r="W79" t="s">
        <v>1357</v>
      </c>
      <c r="X79" t="s">
        <v>1358</v>
      </c>
      <c r="Y79" t="s">
        <v>1359</v>
      </c>
      <c r="Z79" t="s">
        <v>1360</v>
      </c>
      <c r="AA79" t="s">
        <v>1361</v>
      </c>
      <c r="AB79" t="s">
        <v>1362</v>
      </c>
      <c r="AC79" t="s">
        <v>74</v>
      </c>
      <c r="AD79" t="s">
        <v>74</v>
      </c>
      <c r="AE79" t="s">
        <v>74</v>
      </c>
      <c r="AF79" t="s">
        <v>74</v>
      </c>
      <c r="AG79">
        <v>23</v>
      </c>
      <c r="AH79">
        <v>44</v>
      </c>
      <c r="AI79">
        <v>51</v>
      </c>
      <c r="AJ79">
        <v>0</v>
      </c>
      <c r="AK79">
        <v>6</v>
      </c>
      <c r="AL79" t="s">
        <v>133</v>
      </c>
      <c r="AM79" t="s">
        <v>134</v>
      </c>
      <c r="AN79" t="s">
        <v>135</v>
      </c>
      <c r="AO79" t="s">
        <v>1363</v>
      </c>
      <c r="AP79" t="s">
        <v>74</v>
      </c>
      <c r="AQ79" t="s">
        <v>74</v>
      </c>
      <c r="AR79" t="s">
        <v>1364</v>
      </c>
      <c r="AS79" t="s">
        <v>1365</v>
      </c>
      <c r="AT79" t="s">
        <v>1072</v>
      </c>
      <c r="AU79">
        <v>2005</v>
      </c>
      <c r="AV79">
        <v>67</v>
      </c>
      <c r="AW79">
        <v>5</v>
      </c>
      <c r="AX79" t="s">
        <v>74</v>
      </c>
      <c r="AY79" t="s">
        <v>74</v>
      </c>
      <c r="AZ79" t="s">
        <v>74</v>
      </c>
      <c r="BA79" t="s">
        <v>74</v>
      </c>
      <c r="BB79">
        <v>415</v>
      </c>
      <c r="BC79">
        <v>422</v>
      </c>
      <c r="BD79" t="s">
        <v>74</v>
      </c>
      <c r="BE79" t="s">
        <v>1366</v>
      </c>
      <c r="BF79" t="str">
        <f>HYPERLINK("http://dx.doi.org/10.1007/s00445-004-0382-6","http://dx.doi.org/10.1007/s00445-004-0382-6")</f>
        <v>http://dx.doi.org/10.1007/s00445-004-0382-6</v>
      </c>
      <c r="BG79" t="s">
        <v>74</v>
      </c>
      <c r="BH79" t="s">
        <v>74</v>
      </c>
      <c r="BI79">
        <v>8</v>
      </c>
      <c r="BJ79" t="s">
        <v>537</v>
      </c>
      <c r="BK79" t="s">
        <v>95</v>
      </c>
      <c r="BL79" t="s">
        <v>307</v>
      </c>
      <c r="BM79" t="s">
        <v>1367</v>
      </c>
      <c r="BN79" t="s">
        <v>74</v>
      </c>
      <c r="BO79" t="s">
        <v>74</v>
      </c>
      <c r="BP79" t="s">
        <v>74</v>
      </c>
      <c r="BQ79" t="s">
        <v>74</v>
      </c>
      <c r="BR79" t="s">
        <v>97</v>
      </c>
      <c r="BS79" t="s">
        <v>1368</v>
      </c>
      <c r="BT79" t="str">
        <f>HYPERLINK("https%3A%2F%2Fwww.webofscience.com%2Fwos%2Fwoscc%2Ffull-record%2FWOS:000229712500002","View Full Record in Web of Science")</f>
        <v>View Full Record in Web of Science</v>
      </c>
    </row>
    <row r="80" spans="1:72" x14ac:dyDescent="0.15">
      <c r="A80" t="s">
        <v>72</v>
      </c>
      <c r="B80" t="s">
        <v>1369</v>
      </c>
      <c r="C80" t="s">
        <v>74</v>
      </c>
      <c r="D80" t="s">
        <v>74</v>
      </c>
      <c r="E80" t="s">
        <v>74</v>
      </c>
      <c r="F80" t="s">
        <v>1369</v>
      </c>
      <c r="G80" t="s">
        <v>74</v>
      </c>
      <c r="H80" t="s">
        <v>74</v>
      </c>
      <c r="I80" t="s">
        <v>1370</v>
      </c>
      <c r="J80" t="s">
        <v>1371</v>
      </c>
      <c r="K80" t="s">
        <v>74</v>
      </c>
      <c r="L80" t="s">
        <v>74</v>
      </c>
      <c r="M80" t="s">
        <v>77</v>
      </c>
      <c r="N80" t="s">
        <v>78</v>
      </c>
      <c r="O80" t="s">
        <v>74</v>
      </c>
      <c r="P80" t="s">
        <v>74</v>
      </c>
      <c r="Q80" t="s">
        <v>74</v>
      </c>
      <c r="R80" t="s">
        <v>74</v>
      </c>
      <c r="S80" t="s">
        <v>74</v>
      </c>
      <c r="T80" t="s">
        <v>74</v>
      </c>
      <c r="U80" t="s">
        <v>1372</v>
      </c>
      <c r="V80" t="s">
        <v>1373</v>
      </c>
      <c r="W80" t="s">
        <v>1374</v>
      </c>
      <c r="X80" t="s">
        <v>1375</v>
      </c>
      <c r="Y80" t="s">
        <v>1376</v>
      </c>
      <c r="Z80" t="s">
        <v>1377</v>
      </c>
      <c r="AA80" t="s">
        <v>74</v>
      </c>
      <c r="AB80" t="s">
        <v>74</v>
      </c>
      <c r="AC80" t="s">
        <v>74</v>
      </c>
      <c r="AD80" t="s">
        <v>74</v>
      </c>
      <c r="AE80" t="s">
        <v>74</v>
      </c>
      <c r="AF80" t="s">
        <v>74</v>
      </c>
      <c r="AG80">
        <v>51</v>
      </c>
      <c r="AH80">
        <v>3</v>
      </c>
      <c r="AI80">
        <v>3</v>
      </c>
      <c r="AJ80">
        <v>0</v>
      </c>
      <c r="AK80">
        <v>7</v>
      </c>
      <c r="AL80" t="s">
        <v>1378</v>
      </c>
      <c r="AM80" t="s">
        <v>88</v>
      </c>
      <c r="AN80" t="s">
        <v>1379</v>
      </c>
      <c r="AO80" t="s">
        <v>1380</v>
      </c>
      <c r="AP80" t="s">
        <v>74</v>
      </c>
      <c r="AQ80" t="s">
        <v>74</v>
      </c>
      <c r="AR80" t="s">
        <v>1381</v>
      </c>
      <c r="AS80" t="s">
        <v>1382</v>
      </c>
      <c r="AT80" t="s">
        <v>1383</v>
      </c>
      <c r="AU80">
        <v>2005</v>
      </c>
      <c r="AV80">
        <v>10</v>
      </c>
      <c r="AW80">
        <v>2</v>
      </c>
      <c r="AX80" t="s">
        <v>74</v>
      </c>
      <c r="AY80" t="s">
        <v>74</v>
      </c>
      <c r="AZ80" t="s">
        <v>74</v>
      </c>
      <c r="BA80" t="s">
        <v>74</v>
      </c>
      <c r="BB80">
        <v>104</v>
      </c>
      <c r="BC80">
        <v>113</v>
      </c>
      <c r="BD80" t="s">
        <v>74</v>
      </c>
      <c r="BE80" t="s">
        <v>1384</v>
      </c>
      <c r="BF80" t="str">
        <f>HYPERLINK("http://dx.doi.org/10.1379/CSC-82R.1","http://dx.doi.org/10.1379/CSC-82R.1")</f>
        <v>http://dx.doi.org/10.1379/CSC-82R.1</v>
      </c>
      <c r="BG80" t="s">
        <v>74</v>
      </c>
      <c r="BH80" t="s">
        <v>74</v>
      </c>
      <c r="BI80">
        <v>10</v>
      </c>
      <c r="BJ80" t="s">
        <v>1385</v>
      </c>
      <c r="BK80" t="s">
        <v>95</v>
      </c>
      <c r="BL80" t="s">
        <v>1385</v>
      </c>
      <c r="BM80" t="s">
        <v>1386</v>
      </c>
      <c r="BN80">
        <v>16038407</v>
      </c>
      <c r="BO80" t="s">
        <v>750</v>
      </c>
      <c r="BP80" t="s">
        <v>74</v>
      </c>
      <c r="BQ80" t="s">
        <v>74</v>
      </c>
      <c r="BR80" t="s">
        <v>97</v>
      </c>
      <c r="BS80" t="s">
        <v>1387</v>
      </c>
      <c r="BT80" t="str">
        <f>HYPERLINK("https%3A%2F%2Fwww.webofscience.com%2Fwos%2Fwoscc%2Ffull-record%2FWOS:000230130500003","View Full Record in Web of Science")</f>
        <v>View Full Record in Web of Science</v>
      </c>
    </row>
    <row r="81" spans="1:72" x14ac:dyDescent="0.15">
      <c r="A81" t="s">
        <v>72</v>
      </c>
      <c r="B81" t="s">
        <v>1388</v>
      </c>
      <c r="C81" t="s">
        <v>74</v>
      </c>
      <c r="D81" t="s">
        <v>74</v>
      </c>
      <c r="E81" t="s">
        <v>74</v>
      </c>
      <c r="F81" t="s">
        <v>1388</v>
      </c>
      <c r="G81" t="s">
        <v>74</v>
      </c>
      <c r="H81" t="s">
        <v>74</v>
      </c>
      <c r="I81" t="s">
        <v>1389</v>
      </c>
      <c r="J81" t="s">
        <v>1390</v>
      </c>
      <c r="K81" t="s">
        <v>74</v>
      </c>
      <c r="L81" t="s">
        <v>74</v>
      </c>
      <c r="M81" t="s">
        <v>77</v>
      </c>
      <c r="N81" t="s">
        <v>78</v>
      </c>
      <c r="O81" t="s">
        <v>74</v>
      </c>
      <c r="P81" t="s">
        <v>74</v>
      </c>
      <c r="Q81" t="s">
        <v>74</v>
      </c>
      <c r="R81" t="s">
        <v>74</v>
      </c>
      <c r="S81" t="s">
        <v>74</v>
      </c>
      <c r="T81" t="s">
        <v>1391</v>
      </c>
      <c r="U81" t="s">
        <v>1392</v>
      </c>
      <c r="V81" t="s">
        <v>1393</v>
      </c>
      <c r="W81" t="s">
        <v>1394</v>
      </c>
      <c r="X81" t="s">
        <v>1395</v>
      </c>
      <c r="Y81" t="s">
        <v>1396</v>
      </c>
      <c r="Z81" t="s">
        <v>1397</v>
      </c>
      <c r="AA81" t="s">
        <v>74</v>
      </c>
      <c r="AB81" t="s">
        <v>74</v>
      </c>
      <c r="AC81" t="s">
        <v>74</v>
      </c>
      <c r="AD81" t="s">
        <v>74</v>
      </c>
      <c r="AE81" t="s">
        <v>74</v>
      </c>
      <c r="AF81" t="s">
        <v>74</v>
      </c>
      <c r="AG81">
        <v>41</v>
      </c>
      <c r="AH81">
        <v>20</v>
      </c>
      <c r="AI81">
        <v>23</v>
      </c>
      <c r="AJ81">
        <v>4</v>
      </c>
      <c r="AK81">
        <v>24</v>
      </c>
      <c r="AL81" t="s">
        <v>255</v>
      </c>
      <c r="AM81" t="s">
        <v>256</v>
      </c>
      <c r="AN81" t="s">
        <v>257</v>
      </c>
      <c r="AO81" t="s">
        <v>1398</v>
      </c>
      <c r="AP81" t="s">
        <v>1399</v>
      </c>
      <c r="AQ81" t="s">
        <v>74</v>
      </c>
      <c r="AR81" t="s">
        <v>1390</v>
      </c>
      <c r="AS81" t="s">
        <v>1400</v>
      </c>
      <c r="AT81" t="s">
        <v>1072</v>
      </c>
      <c r="AU81">
        <v>2005</v>
      </c>
      <c r="AV81">
        <v>59</v>
      </c>
      <c r="AW81">
        <v>11</v>
      </c>
      <c r="AX81" t="s">
        <v>74</v>
      </c>
      <c r="AY81" t="s">
        <v>74</v>
      </c>
      <c r="AZ81" t="s">
        <v>74</v>
      </c>
      <c r="BA81" t="s">
        <v>74</v>
      </c>
      <c r="BB81">
        <v>1583</v>
      </c>
      <c r="BC81">
        <v>1593</v>
      </c>
      <c r="BD81" t="s">
        <v>74</v>
      </c>
      <c r="BE81" t="s">
        <v>1401</v>
      </c>
      <c r="BF81" t="str">
        <f>HYPERLINK("http://dx.doi.org/10.1016/j.chemosphere.2005.02.007","http://dx.doi.org/10.1016/j.chemosphere.2005.02.007")</f>
        <v>http://dx.doi.org/10.1016/j.chemosphere.2005.02.007</v>
      </c>
      <c r="BG81" t="s">
        <v>74</v>
      </c>
      <c r="BH81" t="s">
        <v>74</v>
      </c>
      <c r="BI81">
        <v>11</v>
      </c>
      <c r="BJ81" t="s">
        <v>1402</v>
      </c>
      <c r="BK81" t="s">
        <v>95</v>
      </c>
      <c r="BL81" t="s">
        <v>219</v>
      </c>
      <c r="BM81" t="s">
        <v>1403</v>
      </c>
      <c r="BN81">
        <v>15894046</v>
      </c>
      <c r="BO81" t="s">
        <v>74</v>
      </c>
      <c r="BP81" t="s">
        <v>74</v>
      </c>
      <c r="BQ81" t="s">
        <v>74</v>
      </c>
      <c r="BR81" t="s">
        <v>97</v>
      </c>
      <c r="BS81" t="s">
        <v>1404</v>
      </c>
      <c r="BT81" t="str">
        <f>HYPERLINK("https%3A%2F%2Fwww.webofscience.com%2Fwos%2Fwoscc%2Ffull-record%2FWOS:000230321500007","View Full Record in Web of Science")</f>
        <v>View Full Record in Web of Science</v>
      </c>
    </row>
    <row r="82" spans="1:72" x14ac:dyDescent="0.15">
      <c r="A82" t="s">
        <v>72</v>
      </c>
      <c r="B82" t="s">
        <v>1405</v>
      </c>
      <c r="C82" t="s">
        <v>74</v>
      </c>
      <c r="D82" t="s">
        <v>74</v>
      </c>
      <c r="E82" t="s">
        <v>74</v>
      </c>
      <c r="F82" t="s">
        <v>1405</v>
      </c>
      <c r="G82" t="s">
        <v>74</v>
      </c>
      <c r="H82" t="s">
        <v>74</v>
      </c>
      <c r="I82" t="s">
        <v>1406</v>
      </c>
      <c r="J82" t="s">
        <v>1390</v>
      </c>
      <c r="K82" t="s">
        <v>74</v>
      </c>
      <c r="L82" t="s">
        <v>74</v>
      </c>
      <c r="M82" t="s">
        <v>77</v>
      </c>
      <c r="N82" t="s">
        <v>78</v>
      </c>
      <c r="O82" t="s">
        <v>74</v>
      </c>
      <c r="P82" t="s">
        <v>74</v>
      </c>
      <c r="Q82" t="s">
        <v>74</v>
      </c>
      <c r="R82" t="s">
        <v>74</v>
      </c>
      <c r="S82" t="s">
        <v>74</v>
      </c>
      <c r="T82" t="s">
        <v>1407</v>
      </c>
      <c r="U82" t="s">
        <v>1408</v>
      </c>
      <c r="V82" t="s">
        <v>1409</v>
      </c>
      <c r="W82" t="s">
        <v>1410</v>
      </c>
      <c r="X82" t="s">
        <v>1411</v>
      </c>
      <c r="Y82" t="s">
        <v>1396</v>
      </c>
      <c r="Z82" t="s">
        <v>1412</v>
      </c>
      <c r="AA82" t="s">
        <v>74</v>
      </c>
      <c r="AB82" t="s">
        <v>74</v>
      </c>
      <c r="AC82" t="s">
        <v>74</v>
      </c>
      <c r="AD82" t="s">
        <v>74</v>
      </c>
      <c r="AE82" t="s">
        <v>74</v>
      </c>
      <c r="AF82" t="s">
        <v>74</v>
      </c>
      <c r="AG82">
        <v>36</v>
      </c>
      <c r="AH82">
        <v>37</v>
      </c>
      <c r="AI82">
        <v>44</v>
      </c>
      <c r="AJ82">
        <v>3</v>
      </c>
      <c r="AK82">
        <v>31</v>
      </c>
      <c r="AL82" t="s">
        <v>255</v>
      </c>
      <c r="AM82" t="s">
        <v>256</v>
      </c>
      <c r="AN82" t="s">
        <v>257</v>
      </c>
      <c r="AO82" t="s">
        <v>1398</v>
      </c>
      <c r="AP82" t="s">
        <v>1399</v>
      </c>
      <c r="AQ82" t="s">
        <v>74</v>
      </c>
      <c r="AR82" t="s">
        <v>1390</v>
      </c>
      <c r="AS82" t="s">
        <v>1400</v>
      </c>
      <c r="AT82" t="s">
        <v>1072</v>
      </c>
      <c r="AU82">
        <v>2005</v>
      </c>
      <c r="AV82">
        <v>59</v>
      </c>
      <c r="AW82">
        <v>11</v>
      </c>
      <c r="AX82" t="s">
        <v>74</v>
      </c>
      <c r="AY82" t="s">
        <v>74</v>
      </c>
      <c r="AZ82" t="s">
        <v>74</v>
      </c>
      <c r="BA82" t="s">
        <v>74</v>
      </c>
      <c r="BB82">
        <v>1667</v>
      </c>
      <c r="BC82">
        <v>1675</v>
      </c>
      <c r="BD82" t="s">
        <v>74</v>
      </c>
      <c r="BE82" t="s">
        <v>1413</v>
      </c>
      <c r="BF82" t="str">
        <f>HYPERLINK("http://dx.doi.org/10.1016/j.chemosphere.2004.10.033","http://dx.doi.org/10.1016/j.chemosphere.2004.10.033")</f>
        <v>http://dx.doi.org/10.1016/j.chemosphere.2004.10.033</v>
      </c>
      <c r="BG82" t="s">
        <v>74</v>
      </c>
      <c r="BH82" t="s">
        <v>74</v>
      </c>
      <c r="BI82">
        <v>9</v>
      </c>
      <c r="BJ82" t="s">
        <v>1402</v>
      </c>
      <c r="BK82" t="s">
        <v>95</v>
      </c>
      <c r="BL82" t="s">
        <v>219</v>
      </c>
      <c r="BM82" t="s">
        <v>1403</v>
      </c>
      <c r="BN82">
        <v>15894052</v>
      </c>
      <c r="BO82" t="s">
        <v>74</v>
      </c>
      <c r="BP82" t="s">
        <v>74</v>
      </c>
      <c r="BQ82" t="s">
        <v>74</v>
      </c>
      <c r="BR82" t="s">
        <v>97</v>
      </c>
      <c r="BS82" t="s">
        <v>1414</v>
      </c>
      <c r="BT82" t="str">
        <f>HYPERLINK("https%3A%2F%2Fwww.webofscience.com%2Fwos%2Fwoscc%2Ffull-record%2FWOS:000230321500014","View Full Record in Web of Science")</f>
        <v>View Full Record in Web of Science</v>
      </c>
    </row>
    <row r="83" spans="1:72" x14ac:dyDescent="0.15">
      <c r="A83" t="s">
        <v>72</v>
      </c>
      <c r="B83" t="s">
        <v>1415</v>
      </c>
      <c r="C83" t="s">
        <v>74</v>
      </c>
      <c r="D83" t="s">
        <v>74</v>
      </c>
      <c r="E83" t="s">
        <v>74</v>
      </c>
      <c r="F83" t="s">
        <v>1415</v>
      </c>
      <c r="G83" t="s">
        <v>74</v>
      </c>
      <c r="H83" t="s">
        <v>74</v>
      </c>
      <c r="I83" t="s">
        <v>1416</v>
      </c>
      <c r="J83" t="s">
        <v>1417</v>
      </c>
      <c r="K83" t="s">
        <v>74</v>
      </c>
      <c r="L83" t="s">
        <v>74</v>
      </c>
      <c r="M83" t="s">
        <v>77</v>
      </c>
      <c r="N83" t="s">
        <v>78</v>
      </c>
      <c r="O83" t="s">
        <v>74</v>
      </c>
      <c r="P83" t="s">
        <v>74</v>
      </c>
      <c r="Q83" t="s">
        <v>74</v>
      </c>
      <c r="R83" t="s">
        <v>74</v>
      </c>
      <c r="S83" t="s">
        <v>74</v>
      </c>
      <c r="T83" t="s">
        <v>74</v>
      </c>
      <c r="U83" t="s">
        <v>1418</v>
      </c>
      <c r="V83" t="s">
        <v>1419</v>
      </c>
      <c r="W83" t="s">
        <v>1420</v>
      </c>
      <c r="X83" t="s">
        <v>1421</v>
      </c>
      <c r="Y83" t="s">
        <v>1422</v>
      </c>
      <c r="Z83" t="s">
        <v>1423</v>
      </c>
      <c r="AA83" t="s">
        <v>1424</v>
      </c>
      <c r="AB83" t="s">
        <v>74</v>
      </c>
      <c r="AC83" t="s">
        <v>74</v>
      </c>
      <c r="AD83" t="s">
        <v>74</v>
      </c>
      <c r="AE83" t="s">
        <v>74</v>
      </c>
      <c r="AF83" t="s">
        <v>74</v>
      </c>
      <c r="AG83">
        <v>28</v>
      </c>
      <c r="AH83">
        <v>33</v>
      </c>
      <c r="AI83">
        <v>38</v>
      </c>
      <c r="AJ83">
        <v>0</v>
      </c>
      <c r="AK83">
        <v>1</v>
      </c>
      <c r="AL83" t="s">
        <v>133</v>
      </c>
      <c r="AM83" t="s">
        <v>134</v>
      </c>
      <c r="AN83" t="s">
        <v>181</v>
      </c>
      <c r="AO83" t="s">
        <v>1425</v>
      </c>
      <c r="AP83" t="s">
        <v>1426</v>
      </c>
      <c r="AQ83" t="s">
        <v>74</v>
      </c>
      <c r="AR83" t="s">
        <v>1427</v>
      </c>
      <c r="AS83" t="s">
        <v>1428</v>
      </c>
      <c r="AT83" t="s">
        <v>1072</v>
      </c>
      <c r="AU83">
        <v>2005</v>
      </c>
      <c r="AV83">
        <v>24</v>
      </c>
      <c r="AW83" t="s">
        <v>1429</v>
      </c>
      <c r="AX83" t="s">
        <v>74</v>
      </c>
      <c r="AY83" t="s">
        <v>74</v>
      </c>
      <c r="AZ83" t="s">
        <v>74</v>
      </c>
      <c r="BA83" t="s">
        <v>74</v>
      </c>
      <c r="BB83">
        <v>759</v>
      </c>
      <c r="BC83">
        <v>770</v>
      </c>
      <c r="BD83" t="s">
        <v>74</v>
      </c>
      <c r="BE83" t="s">
        <v>1430</v>
      </c>
      <c r="BF83" t="str">
        <f>HYPERLINK("http://dx.doi.org/10.1007/s00382-005-0019-2","http://dx.doi.org/10.1007/s00382-005-0019-2")</f>
        <v>http://dx.doi.org/10.1007/s00382-005-0019-2</v>
      </c>
      <c r="BG83" t="s">
        <v>74</v>
      </c>
      <c r="BH83" t="s">
        <v>74</v>
      </c>
      <c r="BI83">
        <v>12</v>
      </c>
      <c r="BJ83" t="s">
        <v>401</v>
      </c>
      <c r="BK83" t="s">
        <v>95</v>
      </c>
      <c r="BL83" t="s">
        <v>401</v>
      </c>
      <c r="BM83" t="s">
        <v>1431</v>
      </c>
      <c r="BN83" t="s">
        <v>74</v>
      </c>
      <c r="BO83" t="s">
        <v>74</v>
      </c>
      <c r="BP83" t="s">
        <v>74</v>
      </c>
      <c r="BQ83" t="s">
        <v>74</v>
      </c>
      <c r="BR83" t="s">
        <v>97</v>
      </c>
      <c r="BS83" t="s">
        <v>1432</v>
      </c>
      <c r="BT83" t="str">
        <f>HYPERLINK("https%3A%2F%2Fwww.webofscience.com%2Fwos%2Fwoscc%2Ffull-record%2FWOS:000230431200007","View Full Record in Web of Science")</f>
        <v>View Full Record in Web of Science</v>
      </c>
    </row>
    <row r="84" spans="1:72" x14ac:dyDescent="0.15">
      <c r="A84" t="s">
        <v>72</v>
      </c>
      <c r="B84" t="s">
        <v>1433</v>
      </c>
      <c r="C84" t="s">
        <v>74</v>
      </c>
      <c r="D84" t="s">
        <v>74</v>
      </c>
      <c r="E84" t="s">
        <v>74</v>
      </c>
      <c r="F84" t="s">
        <v>1433</v>
      </c>
      <c r="G84" t="s">
        <v>74</v>
      </c>
      <c r="H84" t="s">
        <v>74</v>
      </c>
      <c r="I84" t="s">
        <v>1434</v>
      </c>
      <c r="J84" t="s">
        <v>1435</v>
      </c>
      <c r="K84" t="s">
        <v>74</v>
      </c>
      <c r="L84" t="s">
        <v>74</v>
      </c>
      <c r="M84" t="s">
        <v>77</v>
      </c>
      <c r="N84" t="s">
        <v>495</v>
      </c>
      <c r="O84" t="s">
        <v>1436</v>
      </c>
      <c r="P84">
        <v>2004</v>
      </c>
      <c r="Q84" t="s">
        <v>1437</v>
      </c>
      <c r="R84" t="s">
        <v>74</v>
      </c>
      <c r="S84" t="s">
        <v>74</v>
      </c>
      <c r="T84" t="s">
        <v>1438</v>
      </c>
      <c r="U84" t="s">
        <v>74</v>
      </c>
      <c r="V84" t="s">
        <v>1439</v>
      </c>
      <c r="W84" t="s">
        <v>1440</v>
      </c>
      <c r="X84" t="s">
        <v>1441</v>
      </c>
      <c r="Y84" t="s">
        <v>1442</v>
      </c>
      <c r="Z84" t="s">
        <v>1443</v>
      </c>
      <c r="AA84" t="s">
        <v>74</v>
      </c>
      <c r="AB84" t="s">
        <v>74</v>
      </c>
      <c r="AC84" t="s">
        <v>74</v>
      </c>
      <c r="AD84" t="s">
        <v>74</v>
      </c>
      <c r="AE84" t="s">
        <v>74</v>
      </c>
      <c r="AF84" t="s">
        <v>74</v>
      </c>
      <c r="AG84">
        <v>7</v>
      </c>
      <c r="AH84">
        <v>17</v>
      </c>
      <c r="AI84">
        <v>18</v>
      </c>
      <c r="AJ84">
        <v>1</v>
      </c>
      <c r="AK84">
        <v>6</v>
      </c>
      <c r="AL84" t="s">
        <v>1444</v>
      </c>
      <c r="AM84" t="s">
        <v>739</v>
      </c>
      <c r="AN84" t="s">
        <v>1445</v>
      </c>
      <c r="AO84" t="s">
        <v>1446</v>
      </c>
      <c r="AP84" t="s">
        <v>1447</v>
      </c>
      <c r="AQ84" t="s">
        <v>74</v>
      </c>
      <c r="AR84" t="s">
        <v>1448</v>
      </c>
      <c r="AS84" t="s">
        <v>1449</v>
      </c>
      <c r="AT84" t="s">
        <v>1072</v>
      </c>
      <c r="AU84">
        <v>2005</v>
      </c>
      <c r="AV84">
        <v>6</v>
      </c>
      <c r="AW84">
        <v>4</v>
      </c>
      <c r="AX84" t="s">
        <v>74</v>
      </c>
      <c r="AY84" t="s">
        <v>74</v>
      </c>
      <c r="AZ84" t="s">
        <v>74</v>
      </c>
      <c r="BA84" t="s">
        <v>74</v>
      </c>
      <c r="BB84">
        <v>230</v>
      </c>
      <c r="BC84">
        <v>235</v>
      </c>
      <c r="BD84" t="s">
        <v>74</v>
      </c>
      <c r="BE84" t="s">
        <v>1450</v>
      </c>
      <c r="BF84" t="str">
        <f>HYPERLINK("http://dx.doi.org/10.1002/cfg.475","http://dx.doi.org/10.1002/cfg.475")</f>
        <v>http://dx.doi.org/10.1002/cfg.475</v>
      </c>
      <c r="BG84" t="s">
        <v>74</v>
      </c>
      <c r="BH84" t="s">
        <v>74</v>
      </c>
      <c r="BI84">
        <v>6</v>
      </c>
      <c r="BJ84" t="s">
        <v>1451</v>
      </c>
      <c r="BK84" t="s">
        <v>514</v>
      </c>
      <c r="BL84" t="s">
        <v>1451</v>
      </c>
      <c r="BM84" t="s">
        <v>1452</v>
      </c>
      <c r="BN84">
        <v>18629188</v>
      </c>
      <c r="BO84" t="s">
        <v>1453</v>
      </c>
      <c r="BP84" t="s">
        <v>74</v>
      </c>
      <c r="BQ84" t="s">
        <v>74</v>
      </c>
      <c r="BR84" t="s">
        <v>97</v>
      </c>
      <c r="BS84" t="s">
        <v>1454</v>
      </c>
      <c r="BT84" t="str">
        <f>HYPERLINK("https%3A%2F%2Fwww.webofscience.com%2Fwos%2Fwoscc%2Ffull-record%2FWOS:000229559700004","View Full Record in Web of Science")</f>
        <v>View Full Record in Web of Science</v>
      </c>
    </row>
    <row r="85" spans="1:72" x14ac:dyDescent="0.15">
      <c r="A85" t="s">
        <v>72</v>
      </c>
      <c r="B85" t="s">
        <v>1455</v>
      </c>
      <c r="C85" t="s">
        <v>74</v>
      </c>
      <c r="D85" t="s">
        <v>74</v>
      </c>
      <c r="E85" t="s">
        <v>74</v>
      </c>
      <c r="F85" t="s">
        <v>1455</v>
      </c>
      <c r="G85" t="s">
        <v>74</v>
      </c>
      <c r="H85" t="s">
        <v>74</v>
      </c>
      <c r="I85" t="s">
        <v>1456</v>
      </c>
      <c r="J85" t="s">
        <v>1457</v>
      </c>
      <c r="K85" t="s">
        <v>74</v>
      </c>
      <c r="L85" t="s">
        <v>74</v>
      </c>
      <c r="M85" t="s">
        <v>77</v>
      </c>
      <c r="N85" t="s">
        <v>78</v>
      </c>
      <c r="O85" t="s">
        <v>74</v>
      </c>
      <c r="P85" t="s">
        <v>74</v>
      </c>
      <c r="Q85" t="s">
        <v>74</v>
      </c>
      <c r="R85" t="s">
        <v>74</v>
      </c>
      <c r="S85" t="s">
        <v>74</v>
      </c>
      <c r="T85" t="s">
        <v>1458</v>
      </c>
      <c r="U85" t="s">
        <v>1459</v>
      </c>
      <c r="V85" t="s">
        <v>1460</v>
      </c>
      <c r="W85" t="s">
        <v>1461</v>
      </c>
      <c r="X85" t="s">
        <v>1462</v>
      </c>
      <c r="Y85" t="s">
        <v>1463</v>
      </c>
      <c r="Z85" t="s">
        <v>1464</v>
      </c>
      <c r="AA85" t="s">
        <v>1465</v>
      </c>
      <c r="AB85" t="s">
        <v>1466</v>
      </c>
      <c r="AC85" t="s">
        <v>74</v>
      </c>
      <c r="AD85" t="s">
        <v>74</v>
      </c>
      <c r="AE85" t="s">
        <v>74</v>
      </c>
      <c r="AF85" t="s">
        <v>74</v>
      </c>
      <c r="AG85">
        <v>45</v>
      </c>
      <c r="AH85">
        <v>31</v>
      </c>
      <c r="AI85">
        <v>35</v>
      </c>
      <c r="AJ85">
        <v>2</v>
      </c>
      <c r="AK85">
        <v>34</v>
      </c>
      <c r="AL85" t="s">
        <v>255</v>
      </c>
      <c r="AM85" t="s">
        <v>256</v>
      </c>
      <c r="AN85" t="s">
        <v>257</v>
      </c>
      <c r="AO85" t="s">
        <v>1467</v>
      </c>
      <c r="AP85" t="s">
        <v>1468</v>
      </c>
      <c r="AQ85" t="s">
        <v>74</v>
      </c>
      <c r="AR85" t="s">
        <v>1469</v>
      </c>
      <c r="AS85" t="s">
        <v>1470</v>
      </c>
      <c r="AT85" t="s">
        <v>1072</v>
      </c>
      <c r="AU85">
        <v>2005</v>
      </c>
      <c r="AV85">
        <v>52</v>
      </c>
      <c r="AW85">
        <v>6</v>
      </c>
      <c r="AX85" t="s">
        <v>74</v>
      </c>
      <c r="AY85" t="s">
        <v>74</v>
      </c>
      <c r="AZ85" t="s">
        <v>74</v>
      </c>
      <c r="BA85" t="s">
        <v>74</v>
      </c>
      <c r="BB85">
        <v>1001</v>
      </c>
      <c r="BC85">
        <v>1019</v>
      </c>
      <c r="BD85" t="s">
        <v>74</v>
      </c>
      <c r="BE85" t="s">
        <v>1471</v>
      </c>
      <c r="BF85" t="str">
        <f>HYPERLINK("http://dx.doi.org/10.1016/j.dsr.2004.11.015","http://dx.doi.org/10.1016/j.dsr.2004.11.015")</f>
        <v>http://dx.doi.org/10.1016/j.dsr.2004.11.015</v>
      </c>
      <c r="BG85" t="s">
        <v>74</v>
      </c>
      <c r="BH85" t="s">
        <v>74</v>
      </c>
      <c r="BI85">
        <v>19</v>
      </c>
      <c r="BJ85" t="s">
        <v>632</v>
      </c>
      <c r="BK85" t="s">
        <v>95</v>
      </c>
      <c r="BL85" t="s">
        <v>632</v>
      </c>
      <c r="BM85" t="s">
        <v>1472</v>
      </c>
      <c r="BN85" t="s">
        <v>74</v>
      </c>
      <c r="BO85" t="s">
        <v>750</v>
      </c>
      <c r="BP85" t="s">
        <v>74</v>
      </c>
      <c r="BQ85" t="s">
        <v>74</v>
      </c>
      <c r="BR85" t="s">
        <v>97</v>
      </c>
      <c r="BS85" t="s">
        <v>1473</v>
      </c>
      <c r="BT85" t="str">
        <f>HYPERLINK("https%3A%2F%2Fwww.webofscience.com%2Fwos%2Fwoscc%2Ffull-record%2FWOS:000229525800006","View Full Record in Web of Science")</f>
        <v>View Full Record in Web of Science</v>
      </c>
    </row>
    <row r="86" spans="1:72" x14ac:dyDescent="0.15">
      <c r="A86" t="s">
        <v>72</v>
      </c>
      <c r="B86" t="s">
        <v>1474</v>
      </c>
      <c r="C86" t="s">
        <v>74</v>
      </c>
      <c r="D86" t="s">
        <v>74</v>
      </c>
      <c r="E86" t="s">
        <v>74</v>
      </c>
      <c r="F86" t="s">
        <v>1474</v>
      </c>
      <c r="G86" t="s">
        <v>74</v>
      </c>
      <c r="H86" t="s">
        <v>74</v>
      </c>
      <c r="I86" t="s">
        <v>1475</v>
      </c>
      <c r="J86" t="s">
        <v>1476</v>
      </c>
      <c r="K86" t="s">
        <v>74</v>
      </c>
      <c r="L86" t="s">
        <v>74</v>
      </c>
      <c r="M86" t="s">
        <v>77</v>
      </c>
      <c r="N86" t="s">
        <v>78</v>
      </c>
      <c r="O86" t="s">
        <v>74</v>
      </c>
      <c r="P86" t="s">
        <v>74</v>
      </c>
      <c r="Q86" t="s">
        <v>74</v>
      </c>
      <c r="R86" t="s">
        <v>74</v>
      </c>
      <c r="S86" t="s">
        <v>74</v>
      </c>
      <c r="T86" t="s">
        <v>74</v>
      </c>
      <c r="U86" t="s">
        <v>1477</v>
      </c>
      <c r="V86" t="s">
        <v>1478</v>
      </c>
      <c r="W86" t="s">
        <v>1479</v>
      </c>
      <c r="X86" t="s">
        <v>1480</v>
      </c>
      <c r="Y86" t="s">
        <v>1481</v>
      </c>
      <c r="Z86" t="s">
        <v>1482</v>
      </c>
      <c r="AA86" t="s">
        <v>1483</v>
      </c>
      <c r="AB86" t="s">
        <v>1484</v>
      </c>
      <c r="AC86" t="s">
        <v>74</v>
      </c>
      <c r="AD86" t="s">
        <v>74</v>
      </c>
      <c r="AE86" t="s">
        <v>74</v>
      </c>
      <c r="AF86" t="s">
        <v>74</v>
      </c>
      <c r="AG86">
        <v>33</v>
      </c>
      <c r="AH86">
        <v>15</v>
      </c>
      <c r="AI86">
        <v>16</v>
      </c>
      <c r="AJ86">
        <v>0</v>
      </c>
      <c r="AK86">
        <v>8</v>
      </c>
      <c r="AL86" t="s">
        <v>472</v>
      </c>
      <c r="AM86" t="s">
        <v>473</v>
      </c>
      <c r="AN86" t="s">
        <v>474</v>
      </c>
      <c r="AO86" t="s">
        <v>1485</v>
      </c>
      <c r="AP86" t="s">
        <v>1486</v>
      </c>
      <c r="AQ86" t="s">
        <v>74</v>
      </c>
      <c r="AR86" t="s">
        <v>1476</v>
      </c>
      <c r="AS86" t="s">
        <v>1487</v>
      </c>
      <c r="AT86" t="s">
        <v>1072</v>
      </c>
      <c r="AU86">
        <v>2005</v>
      </c>
      <c r="AV86">
        <v>28</v>
      </c>
      <c r="AW86">
        <v>3</v>
      </c>
      <c r="AX86" t="s">
        <v>74</v>
      </c>
      <c r="AY86" t="s">
        <v>74</v>
      </c>
      <c r="AZ86" t="s">
        <v>74</v>
      </c>
      <c r="BA86" t="s">
        <v>74</v>
      </c>
      <c r="BB86">
        <v>295</v>
      </c>
      <c r="BC86">
        <v>306</v>
      </c>
      <c r="BD86" t="s">
        <v>74</v>
      </c>
      <c r="BE86" t="s">
        <v>1488</v>
      </c>
      <c r="BF86" t="str">
        <f>HYPERLINK("http://dx.doi.org/10.1111/j.0906-7590.2005.03949.x","http://dx.doi.org/10.1111/j.0906-7590.2005.03949.x")</f>
        <v>http://dx.doi.org/10.1111/j.0906-7590.2005.03949.x</v>
      </c>
      <c r="BG86" t="s">
        <v>74</v>
      </c>
      <c r="BH86" t="s">
        <v>74</v>
      </c>
      <c r="BI86">
        <v>12</v>
      </c>
      <c r="BJ86" t="s">
        <v>140</v>
      </c>
      <c r="BK86" t="s">
        <v>95</v>
      </c>
      <c r="BL86" t="s">
        <v>141</v>
      </c>
      <c r="BM86" t="s">
        <v>1489</v>
      </c>
      <c r="BN86" t="s">
        <v>74</v>
      </c>
      <c r="BO86" t="s">
        <v>74</v>
      </c>
      <c r="BP86" t="s">
        <v>74</v>
      </c>
      <c r="BQ86" t="s">
        <v>74</v>
      </c>
      <c r="BR86" t="s">
        <v>97</v>
      </c>
      <c r="BS86" t="s">
        <v>1490</v>
      </c>
      <c r="BT86" t="str">
        <f>HYPERLINK("https%3A%2F%2Fwww.webofscience.com%2Fwos%2Fwoscc%2Ffull-record%2FWOS:000229428800003","View Full Record in Web of Science")</f>
        <v>View Full Record in Web of Science</v>
      </c>
    </row>
    <row r="87" spans="1:72" x14ac:dyDescent="0.15">
      <c r="A87" t="s">
        <v>72</v>
      </c>
      <c r="B87" t="s">
        <v>1491</v>
      </c>
      <c r="C87" t="s">
        <v>74</v>
      </c>
      <c r="D87" t="s">
        <v>74</v>
      </c>
      <c r="E87" t="s">
        <v>74</v>
      </c>
      <c r="F87" t="s">
        <v>1491</v>
      </c>
      <c r="G87" t="s">
        <v>74</v>
      </c>
      <c r="H87" t="s">
        <v>74</v>
      </c>
      <c r="I87" t="s">
        <v>1492</v>
      </c>
      <c r="J87" t="s">
        <v>1493</v>
      </c>
      <c r="K87" t="s">
        <v>74</v>
      </c>
      <c r="L87" t="s">
        <v>74</v>
      </c>
      <c r="M87" t="s">
        <v>77</v>
      </c>
      <c r="N87" t="s">
        <v>78</v>
      </c>
      <c r="O87" t="s">
        <v>74</v>
      </c>
      <c r="P87" t="s">
        <v>74</v>
      </c>
      <c r="Q87" t="s">
        <v>74</v>
      </c>
      <c r="R87" t="s">
        <v>74</v>
      </c>
      <c r="S87" t="s">
        <v>74</v>
      </c>
      <c r="T87" t="s">
        <v>74</v>
      </c>
      <c r="U87" t="s">
        <v>1494</v>
      </c>
      <c r="V87" t="s">
        <v>1495</v>
      </c>
      <c r="W87" t="s">
        <v>1496</v>
      </c>
      <c r="X87" t="s">
        <v>1497</v>
      </c>
      <c r="Y87" t="s">
        <v>1498</v>
      </c>
      <c r="Z87" t="s">
        <v>1499</v>
      </c>
      <c r="AA87" t="s">
        <v>1500</v>
      </c>
      <c r="AB87" t="s">
        <v>1501</v>
      </c>
      <c r="AC87" t="s">
        <v>74</v>
      </c>
      <c r="AD87" t="s">
        <v>74</v>
      </c>
      <c r="AE87" t="s">
        <v>74</v>
      </c>
      <c r="AF87" t="s">
        <v>74</v>
      </c>
      <c r="AG87">
        <v>31</v>
      </c>
      <c r="AH87">
        <v>54</v>
      </c>
      <c r="AI87">
        <v>72</v>
      </c>
      <c r="AJ87">
        <v>2</v>
      </c>
      <c r="AK87">
        <v>15</v>
      </c>
      <c r="AL87" t="s">
        <v>472</v>
      </c>
      <c r="AM87" t="s">
        <v>473</v>
      </c>
      <c r="AN87" t="s">
        <v>474</v>
      </c>
      <c r="AO87" t="s">
        <v>1502</v>
      </c>
      <c r="AP87" t="s">
        <v>1503</v>
      </c>
      <c r="AQ87" t="s">
        <v>74</v>
      </c>
      <c r="AR87" t="s">
        <v>1504</v>
      </c>
      <c r="AS87" t="s">
        <v>1505</v>
      </c>
      <c r="AT87" t="s">
        <v>1072</v>
      </c>
      <c r="AU87">
        <v>2005</v>
      </c>
      <c r="AV87">
        <v>7</v>
      </c>
      <c r="AW87">
        <v>6</v>
      </c>
      <c r="AX87" t="s">
        <v>74</v>
      </c>
      <c r="AY87" t="s">
        <v>74</v>
      </c>
      <c r="AZ87" t="s">
        <v>74</v>
      </c>
      <c r="BA87" t="s">
        <v>74</v>
      </c>
      <c r="BB87">
        <v>789</v>
      </c>
      <c r="BC87">
        <v>797</v>
      </c>
      <c r="BD87" t="s">
        <v>74</v>
      </c>
      <c r="BE87" t="s">
        <v>1506</v>
      </c>
      <c r="BF87" t="str">
        <f>HYPERLINK("http://dx.doi.org/10.1111/j.1462-2920.2005.00751.x","http://dx.doi.org/10.1111/j.1462-2920.2005.00751.x")</f>
        <v>http://dx.doi.org/10.1111/j.1462-2920.2005.00751.x</v>
      </c>
      <c r="BG87" t="s">
        <v>74</v>
      </c>
      <c r="BH87" t="s">
        <v>74</v>
      </c>
      <c r="BI87">
        <v>9</v>
      </c>
      <c r="BJ87" t="s">
        <v>1507</v>
      </c>
      <c r="BK87" t="s">
        <v>95</v>
      </c>
      <c r="BL87" t="s">
        <v>1507</v>
      </c>
      <c r="BM87" t="s">
        <v>1508</v>
      </c>
      <c r="BN87">
        <v>15892698</v>
      </c>
      <c r="BO87" t="s">
        <v>74</v>
      </c>
      <c r="BP87" t="s">
        <v>74</v>
      </c>
      <c r="BQ87" t="s">
        <v>74</v>
      </c>
      <c r="BR87" t="s">
        <v>97</v>
      </c>
      <c r="BS87" t="s">
        <v>1509</v>
      </c>
      <c r="BT87" t="str">
        <f>HYPERLINK("https%3A%2F%2Fwww.webofscience.com%2Fwos%2Fwoscc%2Ffull-record%2FWOS:000228962800005","View Full Record in Web of Science")</f>
        <v>View Full Record in Web of Science</v>
      </c>
    </row>
    <row r="88" spans="1:72" x14ac:dyDescent="0.15">
      <c r="A88" t="s">
        <v>72</v>
      </c>
      <c r="B88" t="s">
        <v>1510</v>
      </c>
      <c r="C88" t="s">
        <v>74</v>
      </c>
      <c r="D88" t="s">
        <v>74</v>
      </c>
      <c r="E88" t="s">
        <v>74</v>
      </c>
      <c r="F88" t="s">
        <v>1510</v>
      </c>
      <c r="G88" t="s">
        <v>74</v>
      </c>
      <c r="H88" t="s">
        <v>74</v>
      </c>
      <c r="I88" t="s">
        <v>1511</v>
      </c>
      <c r="J88" t="s">
        <v>1512</v>
      </c>
      <c r="K88" t="s">
        <v>74</v>
      </c>
      <c r="L88" t="s">
        <v>74</v>
      </c>
      <c r="M88" t="s">
        <v>77</v>
      </c>
      <c r="N88" t="s">
        <v>78</v>
      </c>
      <c r="O88" t="s">
        <v>74</v>
      </c>
      <c r="P88" t="s">
        <v>74</v>
      </c>
      <c r="Q88" t="s">
        <v>74</v>
      </c>
      <c r="R88" t="s">
        <v>74</v>
      </c>
      <c r="S88" t="s">
        <v>74</v>
      </c>
      <c r="T88" t="s">
        <v>74</v>
      </c>
      <c r="U88" t="s">
        <v>1513</v>
      </c>
      <c r="V88" t="s">
        <v>1514</v>
      </c>
      <c r="W88" t="s">
        <v>1515</v>
      </c>
      <c r="X88" t="s">
        <v>1516</v>
      </c>
      <c r="Y88" t="s">
        <v>1517</v>
      </c>
      <c r="Z88" t="s">
        <v>1518</v>
      </c>
      <c r="AA88" t="s">
        <v>74</v>
      </c>
      <c r="AB88" t="s">
        <v>74</v>
      </c>
      <c r="AC88" t="s">
        <v>74</v>
      </c>
      <c r="AD88" t="s">
        <v>74</v>
      </c>
      <c r="AE88" t="s">
        <v>74</v>
      </c>
      <c r="AF88" t="s">
        <v>74</v>
      </c>
      <c r="AG88">
        <v>40</v>
      </c>
      <c r="AH88">
        <v>63</v>
      </c>
      <c r="AI88">
        <v>74</v>
      </c>
      <c r="AJ88">
        <v>5</v>
      </c>
      <c r="AK88">
        <v>46</v>
      </c>
      <c r="AL88" t="s">
        <v>1519</v>
      </c>
      <c r="AM88" t="s">
        <v>528</v>
      </c>
      <c r="AN88" t="s">
        <v>1520</v>
      </c>
      <c r="AO88" t="s">
        <v>1521</v>
      </c>
      <c r="AP88" t="s">
        <v>1522</v>
      </c>
      <c r="AQ88" t="s">
        <v>74</v>
      </c>
      <c r="AR88" t="s">
        <v>1523</v>
      </c>
      <c r="AS88" t="s">
        <v>1524</v>
      </c>
      <c r="AT88" t="s">
        <v>1328</v>
      </c>
      <c r="AU88">
        <v>2005</v>
      </c>
      <c r="AV88">
        <v>39</v>
      </c>
      <c r="AW88">
        <v>11</v>
      </c>
      <c r="AX88" t="s">
        <v>74</v>
      </c>
      <c r="AY88" t="s">
        <v>74</v>
      </c>
      <c r="AZ88" t="s">
        <v>74</v>
      </c>
      <c r="BA88" t="s">
        <v>74</v>
      </c>
      <c r="BB88">
        <v>3889</v>
      </c>
      <c r="BC88">
        <v>3895</v>
      </c>
      <c r="BD88" t="s">
        <v>74</v>
      </c>
      <c r="BE88" t="s">
        <v>1525</v>
      </c>
      <c r="BF88" t="str">
        <f>HYPERLINK("http://dx.doi.org/10.1021/es0484597","http://dx.doi.org/10.1021/es0484597")</f>
        <v>http://dx.doi.org/10.1021/es0484597</v>
      </c>
      <c r="BG88" t="s">
        <v>74</v>
      </c>
      <c r="BH88" t="s">
        <v>74</v>
      </c>
      <c r="BI88">
        <v>7</v>
      </c>
      <c r="BJ88" t="s">
        <v>1526</v>
      </c>
      <c r="BK88" t="s">
        <v>95</v>
      </c>
      <c r="BL88" t="s">
        <v>1527</v>
      </c>
      <c r="BM88" t="s">
        <v>1528</v>
      </c>
      <c r="BN88">
        <v>15984761</v>
      </c>
      <c r="BO88" t="s">
        <v>74</v>
      </c>
      <c r="BP88" t="s">
        <v>74</v>
      </c>
      <c r="BQ88" t="s">
        <v>74</v>
      </c>
      <c r="BR88" t="s">
        <v>97</v>
      </c>
      <c r="BS88" t="s">
        <v>1529</v>
      </c>
      <c r="BT88" t="str">
        <f>HYPERLINK("https%3A%2F%2Fwww.webofscience.com%2Fwos%2Fwoscc%2Ffull-record%2FWOS:000229662200011","View Full Record in Web of Science")</f>
        <v>View Full Record in Web of Science</v>
      </c>
    </row>
    <row r="89" spans="1:72" x14ac:dyDescent="0.15">
      <c r="A89" t="s">
        <v>72</v>
      </c>
      <c r="B89" t="s">
        <v>1530</v>
      </c>
      <c r="C89" t="s">
        <v>74</v>
      </c>
      <c r="D89" t="s">
        <v>74</v>
      </c>
      <c r="E89" t="s">
        <v>74</v>
      </c>
      <c r="F89" t="s">
        <v>1530</v>
      </c>
      <c r="G89" t="s">
        <v>74</v>
      </c>
      <c r="H89" t="s">
        <v>74</v>
      </c>
      <c r="I89" t="s">
        <v>1531</v>
      </c>
      <c r="J89" t="s">
        <v>1532</v>
      </c>
      <c r="K89" t="s">
        <v>74</v>
      </c>
      <c r="L89" t="s">
        <v>74</v>
      </c>
      <c r="M89" t="s">
        <v>77</v>
      </c>
      <c r="N89" t="s">
        <v>78</v>
      </c>
      <c r="O89" t="s">
        <v>74</v>
      </c>
      <c r="P89" t="s">
        <v>74</v>
      </c>
      <c r="Q89" t="s">
        <v>74</v>
      </c>
      <c r="R89" t="s">
        <v>74</v>
      </c>
      <c r="S89" t="s">
        <v>74</v>
      </c>
      <c r="T89" t="s">
        <v>1533</v>
      </c>
      <c r="U89" t="s">
        <v>1534</v>
      </c>
      <c r="V89" t="s">
        <v>1535</v>
      </c>
      <c r="W89" t="s">
        <v>1536</v>
      </c>
      <c r="X89" t="s">
        <v>1537</v>
      </c>
      <c r="Y89" t="s">
        <v>1538</v>
      </c>
      <c r="Z89" t="s">
        <v>1539</v>
      </c>
      <c r="AA89" t="s">
        <v>1540</v>
      </c>
      <c r="AB89" t="s">
        <v>1541</v>
      </c>
      <c r="AC89" t="s">
        <v>74</v>
      </c>
      <c r="AD89" t="s">
        <v>74</v>
      </c>
      <c r="AE89" t="s">
        <v>74</v>
      </c>
      <c r="AF89" t="s">
        <v>74</v>
      </c>
      <c r="AG89">
        <v>43</v>
      </c>
      <c r="AH89">
        <v>59</v>
      </c>
      <c r="AI89">
        <v>62</v>
      </c>
      <c r="AJ89">
        <v>0</v>
      </c>
      <c r="AK89">
        <v>22</v>
      </c>
      <c r="AL89" t="s">
        <v>472</v>
      </c>
      <c r="AM89" t="s">
        <v>473</v>
      </c>
      <c r="AN89" t="s">
        <v>474</v>
      </c>
      <c r="AO89" t="s">
        <v>1542</v>
      </c>
      <c r="AP89" t="s">
        <v>1543</v>
      </c>
      <c r="AQ89" t="s">
        <v>74</v>
      </c>
      <c r="AR89" t="s">
        <v>1544</v>
      </c>
      <c r="AS89" t="s">
        <v>1545</v>
      </c>
      <c r="AT89" t="s">
        <v>1072</v>
      </c>
      <c r="AU89">
        <v>2005</v>
      </c>
      <c r="AV89">
        <v>24</v>
      </c>
      <c r="AW89">
        <v>6</v>
      </c>
      <c r="AX89" t="s">
        <v>74</v>
      </c>
      <c r="AY89" t="s">
        <v>74</v>
      </c>
      <c r="AZ89" t="s">
        <v>74</v>
      </c>
      <c r="BA89" t="s">
        <v>74</v>
      </c>
      <c r="BB89">
        <v>1475</v>
      </c>
      <c r="BC89">
        <v>1482</v>
      </c>
      <c r="BD89" t="s">
        <v>74</v>
      </c>
      <c r="BE89" t="s">
        <v>1546</v>
      </c>
      <c r="BF89" t="str">
        <f>HYPERLINK("http://dx.doi.org/10.1897/04-514R.1","http://dx.doi.org/10.1897/04-514R.1")</f>
        <v>http://dx.doi.org/10.1897/04-514R.1</v>
      </c>
      <c r="BG89" t="s">
        <v>74</v>
      </c>
      <c r="BH89" t="s">
        <v>74</v>
      </c>
      <c r="BI89">
        <v>8</v>
      </c>
      <c r="BJ89" t="s">
        <v>1547</v>
      </c>
      <c r="BK89" t="s">
        <v>95</v>
      </c>
      <c r="BL89" t="s">
        <v>1548</v>
      </c>
      <c r="BM89" t="s">
        <v>1549</v>
      </c>
      <c r="BN89">
        <v>16117125</v>
      </c>
      <c r="BO89" t="s">
        <v>74</v>
      </c>
      <c r="BP89" t="s">
        <v>74</v>
      </c>
      <c r="BQ89" t="s">
        <v>74</v>
      </c>
      <c r="BR89" t="s">
        <v>97</v>
      </c>
      <c r="BS89" t="s">
        <v>1550</v>
      </c>
      <c r="BT89" t="str">
        <f>HYPERLINK("https%3A%2F%2Fwww.webofscience.com%2Fwos%2Fwoscc%2Ffull-record%2FWOS:000229140400022","View Full Record in Web of Science")</f>
        <v>View Full Record in Web of Science</v>
      </c>
    </row>
    <row r="90" spans="1:72" x14ac:dyDescent="0.15">
      <c r="A90" t="s">
        <v>72</v>
      </c>
      <c r="B90" t="s">
        <v>1551</v>
      </c>
      <c r="C90" t="s">
        <v>74</v>
      </c>
      <c r="D90" t="s">
        <v>74</v>
      </c>
      <c r="E90" t="s">
        <v>74</v>
      </c>
      <c r="F90" t="s">
        <v>1551</v>
      </c>
      <c r="G90" t="s">
        <v>74</v>
      </c>
      <c r="H90" t="s">
        <v>74</v>
      </c>
      <c r="I90" t="s">
        <v>1552</v>
      </c>
      <c r="J90" t="s">
        <v>1553</v>
      </c>
      <c r="K90" t="s">
        <v>74</v>
      </c>
      <c r="L90" t="s">
        <v>74</v>
      </c>
      <c r="M90" t="s">
        <v>77</v>
      </c>
      <c r="N90" t="s">
        <v>495</v>
      </c>
      <c r="O90" t="s">
        <v>1554</v>
      </c>
      <c r="P90" t="s">
        <v>1555</v>
      </c>
      <c r="Q90" t="s">
        <v>1556</v>
      </c>
      <c r="R90" t="s">
        <v>74</v>
      </c>
      <c r="S90" t="s">
        <v>74</v>
      </c>
      <c r="T90" t="s">
        <v>1557</v>
      </c>
      <c r="U90" t="s">
        <v>1558</v>
      </c>
      <c r="V90" t="s">
        <v>1559</v>
      </c>
      <c r="W90" t="s">
        <v>670</v>
      </c>
      <c r="X90" t="s">
        <v>671</v>
      </c>
      <c r="Y90" t="s">
        <v>1560</v>
      </c>
      <c r="Z90" t="s">
        <v>1561</v>
      </c>
      <c r="AA90" t="s">
        <v>74</v>
      </c>
      <c r="AB90" t="s">
        <v>1562</v>
      </c>
      <c r="AC90" t="s">
        <v>74</v>
      </c>
      <c r="AD90" t="s">
        <v>74</v>
      </c>
      <c r="AE90" t="s">
        <v>74</v>
      </c>
      <c r="AF90" t="s">
        <v>74</v>
      </c>
      <c r="AG90">
        <v>65</v>
      </c>
      <c r="AH90">
        <v>45</v>
      </c>
      <c r="AI90">
        <v>57</v>
      </c>
      <c r="AJ90">
        <v>1</v>
      </c>
      <c r="AK90">
        <v>17</v>
      </c>
      <c r="AL90" t="s">
        <v>456</v>
      </c>
      <c r="AM90" t="s">
        <v>436</v>
      </c>
      <c r="AN90" t="s">
        <v>457</v>
      </c>
      <c r="AO90" t="s">
        <v>1563</v>
      </c>
      <c r="AP90" t="s">
        <v>74</v>
      </c>
      <c r="AQ90" t="s">
        <v>74</v>
      </c>
      <c r="AR90" t="s">
        <v>1564</v>
      </c>
      <c r="AS90" t="s">
        <v>1565</v>
      </c>
      <c r="AT90" t="s">
        <v>1328</v>
      </c>
      <c r="AU90">
        <v>2005</v>
      </c>
      <c r="AV90">
        <v>53</v>
      </c>
      <c r="AW90">
        <v>1</v>
      </c>
      <c r="AX90" t="s">
        <v>74</v>
      </c>
      <c r="AY90" t="s">
        <v>74</v>
      </c>
      <c r="AZ90" t="s">
        <v>74</v>
      </c>
      <c r="BA90" t="s">
        <v>74</v>
      </c>
      <c r="BB90">
        <v>61</v>
      </c>
      <c r="BC90">
        <v>72</v>
      </c>
      <c r="BD90" t="s">
        <v>74</v>
      </c>
      <c r="BE90" t="s">
        <v>1566</v>
      </c>
      <c r="BF90" t="str">
        <f>HYPERLINK("http://dx.doi.org/10.1016/j.femsec.2005.01.002","http://dx.doi.org/10.1016/j.femsec.2005.01.002")</f>
        <v>http://dx.doi.org/10.1016/j.femsec.2005.01.002</v>
      </c>
      <c r="BG90" t="s">
        <v>74</v>
      </c>
      <c r="BH90" t="s">
        <v>74</v>
      </c>
      <c r="BI90">
        <v>12</v>
      </c>
      <c r="BJ90" t="s">
        <v>1507</v>
      </c>
      <c r="BK90" t="s">
        <v>989</v>
      </c>
      <c r="BL90" t="s">
        <v>1507</v>
      </c>
      <c r="BM90" t="s">
        <v>1567</v>
      </c>
      <c r="BN90">
        <v>16329930</v>
      </c>
      <c r="BO90" t="s">
        <v>74</v>
      </c>
      <c r="BP90" t="s">
        <v>74</v>
      </c>
      <c r="BQ90" t="s">
        <v>74</v>
      </c>
      <c r="BR90" t="s">
        <v>97</v>
      </c>
      <c r="BS90" t="s">
        <v>1568</v>
      </c>
      <c r="BT90" t="str">
        <f>HYPERLINK("https%3A%2F%2Fwww.webofscience.com%2Fwos%2Fwoscc%2Ffull-record%2FWOS:000229948500008","View Full Record in Web of Science")</f>
        <v>View Full Record in Web of Science</v>
      </c>
    </row>
    <row r="91" spans="1:72" x14ac:dyDescent="0.15">
      <c r="A91" t="s">
        <v>72</v>
      </c>
      <c r="B91" t="s">
        <v>1569</v>
      </c>
      <c r="C91" t="s">
        <v>74</v>
      </c>
      <c r="D91" t="s">
        <v>74</v>
      </c>
      <c r="E91" t="s">
        <v>74</v>
      </c>
      <c r="F91" t="s">
        <v>1569</v>
      </c>
      <c r="G91" t="s">
        <v>74</v>
      </c>
      <c r="H91" t="s">
        <v>74</v>
      </c>
      <c r="I91" t="s">
        <v>1570</v>
      </c>
      <c r="J91" t="s">
        <v>1553</v>
      </c>
      <c r="K91" t="s">
        <v>74</v>
      </c>
      <c r="L91" t="s">
        <v>74</v>
      </c>
      <c r="M91" t="s">
        <v>77</v>
      </c>
      <c r="N91" t="s">
        <v>495</v>
      </c>
      <c r="O91" t="s">
        <v>1554</v>
      </c>
      <c r="P91" t="s">
        <v>1555</v>
      </c>
      <c r="Q91" t="s">
        <v>1556</v>
      </c>
      <c r="R91" t="s">
        <v>74</v>
      </c>
      <c r="S91" t="s">
        <v>74</v>
      </c>
      <c r="T91" t="s">
        <v>1571</v>
      </c>
      <c r="U91" t="s">
        <v>1572</v>
      </c>
      <c r="V91" t="s">
        <v>1573</v>
      </c>
      <c r="W91" t="s">
        <v>1574</v>
      </c>
      <c r="X91" t="s">
        <v>1575</v>
      </c>
      <c r="Y91" t="s">
        <v>1576</v>
      </c>
      <c r="Z91" t="s">
        <v>1577</v>
      </c>
      <c r="AA91" t="s">
        <v>1578</v>
      </c>
      <c r="AB91" t="s">
        <v>1579</v>
      </c>
      <c r="AC91" t="s">
        <v>74</v>
      </c>
      <c r="AD91" t="s">
        <v>74</v>
      </c>
      <c r="AE91" t="s">
        <v>74</v>
      </c>
      <c r="AF91" t="s">
        <v>74</v>
      </c>
      <c r="AG91">
        <v>41</v>
      </c>
      <c r="AH91">
        <v>204</v>
      </c>
      <c r="AI91">
        <v>230</v>
      </c>
      <c r="AJ91">
        <v>0</v>
      </c>
      <c r="AK91">
        <v>37</v>
      </c>
      <c r="AL91" t="s">
        <v>1580</v>
      </c>
      <c r="AM91" t="s">
        <v>256</v>
      </c>
      <c r="AN91" t="s">
        <v>1581</v>
      </c>
      <c r="AO91" t="s">
        <v>1563</v>
      </c>
      <c r="AP91" t="s">
        <v>1582</v>
      </c>
      <c r="AQ91" t="s">
        <v>74</v>
      </c>
      <c r="AR91" t="s">
        <v>1564</v>
      </c>
      <c r="AS91" t="s">
        <v>1565</v>
      </c>
      <c r="AT91" t="s">
        <v>1328</v>
      </c>
      <c r="AU91">
        <v>2005</v>
      </c>
      <c r="AV91">
        <v>53</v>
      </c>
      <c r="AW91">
        <v>1</v>
      </c>
      <c r="AX91" t="s">
        <v>74</v>
      </c>
      <c r="AY91" t="s">
        <v>74</v>
      </c>
      <c r="AZ91" t="s">
        <v>74</v>
      </c>
      <c r="BA91" t="s">
        <v>74</v>
      </c>
      <c r="BB91">
        <v>141</v>
      </c>
      <c r="BC91">
        <v>155</v>
      </c>
      <c r="BD91" t="s">
        <v>74</v>
      </c>
      <c r="BE91" t="s">
        <v>1583</v>
      </c>
      <c r="BF91" t="str">
        <f>HYPERLINK("http://dx.doi.org/10.1016/j.femsec.2004.11.007","http://dx.doi.org/10.1016/j.femsec.2004.11.007")</f>
        <v>http://dx.doi.org/10.1016/j.femsec.2004.11.007</v>
      </c>
      <c r="BG91" t="s">
        <v>74</v>
      </c>
      <c r="BH91" t="s">
        <v>74</v>
      </c>
      <c r="BI91">
        <v>15</v>
      </c>
      <c r="BJ91" t="s">
        <v>1507</v>
      </c>
      <c r="BK91" t="s">
        <v>514</v>
      </c>
      <c r="BL91" t="s">
        <v>1507</v>
      </c>
      <c r="BM91" t="s">
        <v>1567</v>
      </c>
      <c r="BN91">
        <v>16329936</v>
      </c>
      <c r="BO91" t="s">
        <v>539</v>
      </c>
      <c r="BP91" t="s">
        <v>74</v>
      </c>
      <c r="BQ91" t="s">
        <v>74</v>
      </c>
      <c r="BR91" t="s">
        <v>97</v>
      </c>
      <c r="BS91" t="s">
        <v>1584</v>
      </c>
      <c r="BT91" t="str">
        <f>HYPERLINK("https%3A%2F%2Fwww.webofscience.com%2Fwos%2Fwoscc%2Ffull-record%2FWOS:000229948500014","View Full Record in Web of Science")</f>
        <v>View Full Record in Web of Science</v>
      </c>
    </row>
    <row r="92" spans="1:72" x14ac:dyDescent="0.15">
      <c r="A92" t="s">
        <v>72</v>
      </c>
      <c r="B92" t="s">
        <v>1585</v>
      </c>
      <c r="C92" t="s">
        <v>74</v>
      </c>
      <c r="D92" t="s">
        <v>74</v>
      </c>
      <c r="E92" t="s">
        <v>74</v>
      </c>
      <c r="F92" t="s">
        <v>1585</v>
      </c>
      <c r="G92" t="s">
        <v>74</v>
      </c>
      <c r="H92" t="s">
        <v>74</v>
      </c>
      <c r="I92" t="s">
        <v>1586</v>
      </c>
      <c r="J92" t="s">
        <v>1553</v>
      </c>
      <c r="K92" t="s">
        <v>74</v>
      </c>
      <c r="L92" t="s">
        <v>74</v>
      </c>
      <c r="M92" t="s">
        <v>77</v>
      </c>
      <c r="N92" t="s">
        <v>495</v>
      </c>
      <c r="O92" t="s">
        <v>1554</v>
      </c>
      <c r="P92" t="s">
        <v>1555</v>
      </c>
      <c r="Q92" t="s">
        <v>1556</v>
      </c>
      <c r="R92" t="s">
        <v>74</v>
      </c>
      <c r="S92" t="s">
        <v>74</v>
      </c>
      <c r="T92" t="s">
        <v>1587</v>
      </c>
      <c r="U92" t="s">
        <v>1588</v>
      </c>
      <c r="V92" t="s">
        <v>1589</v>
      </c>
      <c r="W92" t="s">
        <v>1590</v>
      </c>
      <c r="X92" t="s">
        <v>1591</v>
      </c>
      <c r="Y92" t="s">
        <v>1592</v>
      </c>
      <c r="Z92" t="s">
        <v>1593</v>
      </c>
      <c r="AA92" t="s">
        <v>1594</v>
      </c>
      <c r="AB92" t="s">
        <v>1595</v>
      </c>
      <c r="AC92" t="s">
        <v>74</v>
      </c>
      <c r="AD92" t="s">
        <v>74</v>
      </c>
      <c r="AE92" t="s">
        <v>74</v>
      </c>
      <c r="AF92" t="s">
        <v>74</v>
      </c>
      <c r="AG92">
        <v>39</v>
      </c>
      <c r="AH92">
        <v>68</v>
      </c>
      <c r="AI92">
        <v>75</v>
      </c>
      <c r="AJ92">
        <v>1</v>
      </c>
      <c r="AK92">
        <v>28</v>
      </c>
      <c r="AL92" t="s">
        <v>1580</v>
      </c>
      <c r="AM92" t="s">
        <v>256</v>
      </c>
      <c r="AN92" t="s">
        <v>1581</v>
      </c>
      <c r="AO92" t="s">
        <v>1563</v>
      </c>
      <c r="AP92" t="s">
        <v>1582</v>
      </c>
      <c r="AQ92" t="s">
        <v>74</v>
      </c>
      <c r="AR92" t="s">
        <v>1564</v>
      </c>
      <c r="AS92" t="s">
        <v>1565</v>
      </c>
      <c r="AT92" t="s">
        <v>1328</v>
      </c>
      <c r="AU92">
        <v>2005</v>
      </c>
      <c r="AV92">
        <v>53</v>
      </c>
      <c r="AW92">
        <v>1</v>
      </c>
      <c r="AX92" t="s">
        <v>74</v>
      </c>
      <c r="AY92" t="s">
        <v>74</v>
      </c>
      <c r="AZ92" t="s">
        <v>74</v>
      </c>
      <c r="BA92" t="s">
        <v>74</v>
      </c>
      <c r="BB92">
        <v>157</v>
      </c>
      <c r="BC92">
        <v>166</v>
      </c>
      <c r="BD92" t="s">
        <v>74</v>
      </c>
      <c r="BE92" t="s">
        <v>1596</v>
      </c>
      <c r="BF92" t="str">
        <f>HYPERLINK("http://dx.doi.org/10.1016/j.femsec.2004.09.013","http://dx.doi.org/10.1016/j.femsec.2004.09.013")</f>
        <v>http://dx.doi.org/10.1016/j.femsec.2004.09.013</v>
      </c>
      <c r="BG92" t="s">
        <v>74</v>
      </c>
      <c r="BH92" t="s">
        <v>74</v>
      </c>
      <c r="BI92">
        <v>10</v>
      </c>
      <c r="BJ92" t="s">
        <v>1507</v>
      </c>
      <c r="BK92" t="s">
        <v>514</v>
      </c>
      <c r="BL92" t="s">
        <v>1507</v>
      </c>
      <c r="BM92" t="s">
        <v>1567</v>
      </c>
      <c r="BN92">
        <v>16329937</v>
      </c>
      <c r="BO92" t="s">
        <v>539</v>
      </c>
      <c r="BP92" t="s">
        <v>74</v>
      </c>
      <c r="BQ92" t="s">
        <v>74</v>
      </c>
      <c r="BR92" t="s">
        <v>97</v>
      </c>
      <c r="BS92" t="s">
        <v>1597</v>
      </c>
      <c r="BT92" t="str">
        <f>HYPERLINK("https%3A%2F%2Fwww.webofscience.com%2Fwos%2Fwoscc%2Ffull-record%2FWOS:000229948500015","View Full Record in Web of Science")</f>
        <v>View Full Record in Web of Science</v>
      </c>
    </row>
    <row r="93" spans="1:72" x14ac:dyDescent="0.15">
      <c r="A93" t="s">
        <v>72</v>
      </c>
      <c r="B93" t="s">
        <v>1598</v>
      </c>
      <c r="C93" t="s">
        <v>74</v>
      </c>
      <c r="D93" t="s">
        <v>74</v>
      </c>
      <c r="E93" t="s">
        <v>74</v>
      </c>
      <c r="F93" t="s">
        <v>1598</v>
      </c>
      <c r="G93" t="s">
        <v>74</v>
      </c>
      <c r="H93" t="s">
        <v>74</v>
      </c>
      <c r="I93" t="s">
        <v>1599</v>
      </c>
      <c r="J93" t="s">
        <v>1600</v>
      </c>
      <c r="K93" t="s">
        <v>74</v>
      </c>
      <c r="L93" t="s">
        <v>74</v>
      </c>
      <c r="M93" t="s">
        <v>77</v>
      </c>
      <c r="N93" t="s">
        <v>78</v>
      </c>
      <c r="O93" t="s">
        <v>74</v>
      </c>
      <c r="P93" t="s">
        <v>74</v>
      </c>
      <c r="Q93" t="s">
        <v>74</v>
      </c>
      <c r="R93" t="s">
        <v>74</v>
      </c>
      <c r="S93" t="s">
        <v>74</v>
      </c>
      <c r="T93" t="s">
        <v>1601</v>
      </c>
      <c r="U93" t="s">
        <v>1602</v>
      </c>
      <c r="V93" t="s">
        <v>1603</v>
      </c>
      <c r="W93" t="s">
        <v>1604</v>
      </c>
      <c r="X93" t="s">
        <v>1605</v>
      </c>
      <c r="Y93" t="s">
        <v>1606</v>
      </c>
      <c r="Z93" t="s">
        <v>1607</v>
      </c>
      <c r="AA93" t="s">
        <v>1608</v>
      </c>
      <c r="AB93" t="s">
        <v>1609</v>
      </c>
      <c r="AC93" t="s">
        <v>74</v>
      </c>
      <c r="AD93" t="s">
        <v>74</v>
      </c>
      <c r="AE93" t="s">
        <v>74</v>
      </c>
      <c r="AF93" t="s">
        <v>74</v>
      </c>
      <c r="AG93">
        <v>38</v>
      </c>
      <c r="AH93">
        <v>42</v>
      </c>
      <c r="AI93">
        <v>46</v>
      </c>
      <c r="AJ93">
        <v>0</v>
      </c>
      <c r="AK93">
        <v>98</v>
      </c>
      <c r="AL93" t="s">
        <v>1610</v>
      </c>
      <c r="AM93" t="s">
        <v>256</v>
      </c>
      <c r="AN93" t="s">
        <v>1611</v>
      </c>
      <c r="AO93" t="s">
        <v>1612</v>
      </c>
      <c r="AP93" t="s">
        <v>74</v>
      </c>
      <c r="AQ93" t="s">
        <v>74</v>
      </c>
      <c r="AR93" t="s">
        <v>1613</v>
      </c>
      <c r="AS93" t="s">
        <v>1614</v>
      </c>
      <c r="AT93" t="s">
        <v>1072</v>
      </c>
      <c r="AU93">
        <v>2005</v>
      </c>
      <c r="AV93">
        <v>12</v>
      </c>
      <c r="AW93">
        <v>3</v>
      </c>
      <c r="AX93" t="s">
        <v>74</v>
      </c>
      <c r="AY93" t="s">
        <v>74</v>
      </c>
      <c r="AZ93" t="s">
        <v>74</v>
      </c>
      <c r="BA93" t="s">
        <v>74</v>
      </c>
      <c r="BB93">
        <v>177</v>
      </c>
      <c r="BC93">
        <v>188</v>
      </c>
      <c r="BD93" t="s">
        <v>74</v>
      </c>
      <c r="BE93" t="s">
        <v>1615</v>
      </c>
      <c r="BF93" t="str">
        <f>HYPERLINK("http://dx.doi.org/10.1111/j.1365-2400.2005.00440.x","http://dx.doi.org/10.1111/j.1365-2400.2005.00440.x")</f>
        <v>http://dx.doi.org/10.1111/j.1365-2400.2005.00440.x</v>
      </c>
      <c r="BG93" t="s">
        <v>74</v>
      </c>
      <c r="BH93" t="s">
        <v>74</v>
      </c>
      <c r="BI93">
        <v>12</v>
      </c>
      <c r="BJ93" t="s">
        <v>1616</v>
      </c>
      <c r="BK93" t="s">
        <v>95</v>
      </c>
      <c r="BL93" t="s">
        <v>1616</v>
      </c>
      <c r="BM93" t="s">
        <v>1617</v>
      </c>
      <c r="BN93" t="s">
        <v>74</v>
      </c>
      <c r="BO93" t="s">
        <v>74</v>
      </c>
      <c r="BP93" t="s">
        <v>74</v>
      </c>
      <c r="BQ93" t="s">
        <v>74</v>
      </c>
      <c r="BR93" t="s">
        <v>97</v>
      </c>
      <c r="BS93" t="s">
        <v>1618</v>
      </c>
      <c r="BT93" t="str">
        <f>HYPERLINK("https%3A%2F%2Fwww.webofscience.com%2Fwos%2Fwoscc%2Ffull-record%2FWOS:000228751600003","View Full Record in Web of Science")</f>
        <v>View Full Record in Web of Science</v>
      </c>
    </row>
    <row r="94" spans="1:72" x14ac:dyDescent="0.15">
      <c r="A94" t="s">
        <v>72</v>
      </c>
      <c r="B94" t="s">
        <v>1619</v>
      </c>
      <c r="C94" t="s">
        <v>74</v>
      </c>
      <c r="D94" t="s">
        <v>74</v>
      </c>
      <c r="E94" t="s">
        <v>74</v>
      </c>
      <c r="F94" t="s">
        <v>1619</v>
      </c>
      <c r="G94" t="s">
        <v>74</v>
      </c>
      <c r="H94" t="s">
        <v>74</v>
      </c>
      <c r="I94" t="s">
        <v>1620</v>
      </c>
      <c r="J94" t="s">
        <v>1621</v>
      </c>
      <c r="K94" t="s">
        <v>74</v>
      </c>
      <c r="L94" t="s">
        <v>74</v>
      </c>
      <c r="M94" t="s">
        <v>77</v>
      </c>
      <c r="N94" t="s">
        <v>78</v>
      </c>
      <c r="O94" t="s">
        <v>74</v>
      </c>
      <c r="P94" t="s">
        <v>74</v>
      </c>
      <c r="Q94" t="s">
        <v>74</v>
      </c>
      <c r="R94" t="s">
        <v>74</v>
      </c>
      <c r="S94" t="s">
        <v>74</v>
      </c>
      <c r="T94" t="s">
        <v>1622</v>
      </c>
      <c r="U94" t="s">
        <v>1623</v>
      </c>
      <c r="V94" t="s">
        <v>1624</v>
      </c>
      <c r="W94" t="s">
        <v>1625</v>
      </c>
      <c r="X94" t="s">
        <v>1626</v>
      </c>
      <c r="Y94" t="s">
        <v>1627</v>
      </c>
      <c r="Z94" t="s">
        <v>74</v>
      </c>
      <c r="AA94" t="s">
        <v>1628</v>
      </c>
      <c r="AB94" t="s">
        <v>74</v>
      </c>
      <c r="AC94" t="s">
        <v>74</v>
      </c>
      <c r="AD94" t="s">
        <v>74</v>
      </c>
      <c r="AE94" t="s">
        <v>74</v>
      </c>
      <c r="AF94" t="s">
        <v>74</v>
      </c>
      <c r="AG94">
        <v>28</v>
      </c>
      <c r="AH94">
        <v>140</v>
      </c>
      <c r="AI94">
        <v>152</v>
      </c>
      <c r="AJ94">
        <v>1</v>
      </c>
      <c r="AK94">
        <v>32</v>
      </c>
      <c r="AL94" t="s">
        <v>1629</v>
      </c>
      <c r="AM94" t="s">
        <v>1630</v>
      </c>
      <c r="AN94" t="s">
        <v>1631</v>
      </c>
      <c r="AO94" t="s">
        <v>1632</v>
      </c>
      <c r="AP94" t="s">
        <v>1633</v>
      </c>
      <c r="AQ94" t="s">
        <v>74</v>
      </c>
      <c r="AR94" t="s">
        <v>1621</v>
      </c>
      <c r="AS94" t="s">
        <v>307</v>
      </c>
      <c r="AT94" t="s">
        <v>1072</v>
      </c>
      <c r="AU94">
        <v>2005</v>
      </c>
      <c r="AV94">
        <v>33</v>
      </c>
      <c r="AW94">
        <v>6</v>
      </c>
      <c r="AX94" t="s">
        <v>74</v>
      </c>
      <c r="AY94" t="s">
        <v>74</v>
      </c>
      <c r="AZ94" t="s">
        <v>74</v>
      </c>
      <c r="BA94" t="s">
        <v>74</v>
      </c>
      <c r="BB94">
        <v>481</v>
      </c>
      <c r="BC94">
        <v>484</v>
      </c>
      <c r="BD94" t="s">
        <v>74</v>
      </c>
      <c r="BE94" t="s">
        <v>1634</v>
      </c>
      <c r="BF94" t="str">
        <f>HYPERLINK("http://dx.doi.org/10.1130/G21462.1","http://dx.doi.org/10.1130/G21462.1")</f>
        <v>http://dx.doi.org/10.1130/G21462.1</v>
      </c>
      <c r="BG94" t="s">
        <v>74</v>
      </c>
      <c r="BH94" t="s">
        <v>74</v>
      </c>
      <c r="BI94">
        <v>4</v>
      </c>
      <c r="BJ94" t="s">
        <v>307</v>
      </c>
      <c r="BK94" t="s">
        <v>95</v>
      </c>
      <c r="BL94" t="s">
        <v>307</v>
      </c>
      <c r="BM94" t="s">
        <v>1635</v>
      </c>
      <c r="BN94" t="s">
        <v>74</v>
      </c>
      <c r="BO94" t="s">
        <v>74</v>
      </c>
      <c r="BP94" t="s">
        <v>74</v>
      </c>
      <c r="BQ94" t="s">
        <v>74</v>
      </c>
      <c r="BR94" t="s">
        <v>97</v>
      </c>
      <c r="BS94" t="s">
        <v>1636</v>
      </c>
      <c r="BT94" t="str">
        <f>HYPERLINK("https%3A%2F%2Fwww.webofscience.com%2Fwos%2Fwoscc%2Ffull-record%2FWOS:000229454800013","View Full Record in Web of Science")</f>
        <v>View Full Record in Web of Science</v>
      </c>
    </row>
    <row r="95" spans="1:72" x14ac:dyDescent="0.15">
      <c r="A95" t="s">
        <v>72</v>
      </c>
      <c r="B95" t="s">
        <v>1637</v>
      </c>
      <c r="C95" t="s">
        <v>74</v>
      </c>
      <c r="D95" t="s">
        <v>74</v>
      </c>
      <c r="E95" t="s">
        <v>74</v>
      </c>
      <c r="F95" t="s">
        <v>1637</v>
      </c>
      <c r="G95" t="s">
        <v>74</v>
      </c>
      <c r="H95" t="s">
        <v>74</v>
      </c>
      <c r="I95" t="s">
        <v>1638</v>
      </c>
      <c r="J95" t="s">
        <v>1639</v>
      </c>
      <c r="K95" t="s">
        <v>74</v>
      </c>
      <c r="L95" t="s">
        <v>74</v>
      </c>
      <c r="M95" t="s">
        <v>77</v>
      </c>
      <c r="N95" t="s">
        <v>78</v>
      </c>
      <c r="O95" t="s">
        <v>74</v>
      </c>
      <c r="P95" t="s">
        <v>74</v>
      </c>
      <c r="Q95" t="s">
        <v>74</v>
      </c>
      <c r="R95" t="s">
        <v>74</v>
      </c>
      <c r="S95" t="s">
        <v>74</v>
      </c>
      <c r="T95" t="s">
        <v>1640</v>
      </c>
      <c r="U95" t="s">
        <v>1641</v>
      </c>
      <c r="V95" t="s">
        <v>1642</v>
      </c>
      <c r="W95" t="s">
        <v>1643</v>
      </c>
      <c r="X95" t="s">
        <v>1644</v>
      </c>
      <c r="Y95" t="s">
        <v>1645</v>
      </c>
      <c r="Z95" t="s">
        <v>1646</v>
      </c>
      <c r="AA95" t="s">
        <v>1647</v>
      </c>
      <c r="AB95" t="s">
        <v>1648</v>
      </c>
      <c r="AC95" t="s">
        <v>74</v>
      </c>
      <c r="AD95" t="s">
        <v>74</v>
      </c>
      <c r="AE95" t="s">
        <v>74</v>
      </c>
      <c r="AF95" t="s">
        <v>74</v>
      </c>
      <c r="AG95">
        <v>52</v>
      </c>
      <c r="AH95">
        <v>19</v>
      </c>
      <c r="AI95">
        <v>22</v>
      </c>
      <c r="AJ95">
        <v>1</v>
      </c>
      <c r="AK95">
        <v>13</v>
      </c>
      <c r="AL95" t="s">
        <v>1649</v>
      </c>
      <c r="AM95" t="s">
        <v>1650</v>
      </c>
      <c r="AN95" t="s">
        <v>1651</v>
      </c>
      <c r="AO95" t="s">
        <v>1652</v>
      </c>
      <c r="AP95" t="s">
        <v>1653</v>
      </c>
      <c r="AQ95" t="s">
        <v>74</v>
      </c>
      <c r="AR95" t="s">
        <v>1639</v>
      </c>
      <c r="AS95" t="s">
        <v>1654</v>
      </c>
      <c r="AT95" t="s">
        <v>1072</v>
      </c>
      <c r="AU95">
        <v>2005</v>
      </c>
      <c r="AV95">
        <v>175</v>
      </c>
      <c r="AW95">
        <v>2</v>
      </c>
      <c r="AX95" t="s">
        <v>74</v>
      </c>
      <c r="AY95" t="s">
        <v>74</v>
      </c>
      <c r="AZ95" t="s">
        <v>74</v>
      </c>
      <c r="BA95" t="s">
        <v>74</v>
      </c>
      <c r="BB95">
        <v>360</v>
      </c>
      <c r="BC95">
        <v>371</v>
      </c>
      <c r="BD95" t="s">
        <v>74</v>
      </c>
      <c r="BE95" t="s">
        <v>1655</v>
      </c>
      <c r="BF95" t="str">
        <f>HYPERLINK("http://dx.doi.org/10.1016/j.icarus.2004.12.009","http://dx.doi.org/10.1016/j.icarus.2004.12.009")</f>
        <v>http://dx.doi.org/10.1016/j.icarus.2004.12.009</v>
      </c>
      <c r="BG95" t="s">
        <v>74</v>
      </c>
      <c r="BH95" t="s">
        <v>74</v>
      </c>
      <c r="BI95">
        <v>12</v>
      </c>
      <c r="BJ95" t="s">
        <v>853</v>
      </c>
      <c r="BK95" t="s">
        <v>95</v>
      </c>
      <c r="BL95" t="s">
        <v>853</v>
      </c>
      <c r="BM95" t="s">
        <v>1656</v>
      </c>
      <c r="BN95">
        <v>16044598</v>
      </c>
      <c r="BO95" t="s">
        <v>143</v>
      </c>
      <c r="BP95" t="s">
        <v>74</v>
      </c>
      <c r="BQ95" t="s">
        <v>74</v>
      </c>
      <c r="BR95" t="s">
        <v>97</v>
      </c>
      <c r="BS95" t="s">
        <v>1657</v>
      </c>
      <c r="BT95" t="str">
        <f>HYPERLINK("https%3A%2F%2Fwww.webofscience.com%2Fwos%2Fwoscc%2Ffull-record%2FWOS:000229159100005","View Full Record in Web of Science")</f>
        <v>View Full Record in Web of Science</v>
      </c>
    </row>
    <row r="96" spans="1:72" x14ac:dyDescent="0.15">
      <c r="A96" t="s">
        <v>72</v>
      </c>
      <c r="B96" t="s">
        <v>1658</v>
      </c>
      <c r="C96" t="s">
        <v>74</v>
      </c>
      <c r="D96" t="s">
        <v>74</v>
      </c>
      <c r="E96" t="s">
        <v>74</v>
      </c>
      <c r="F96" t="s">
        <v>1658</v>
      </c>
      <c r="G96" t="s">
        <v>74</v>
      </c>
      <c r="H96" t="s">
        <v>74</v>
      </c>
      <c r="I96" t="s">
        <v>1659</v>
      </c>
      <c r="J96" t="s">
        <v>1660</v>
      </c>
      <c r="K96" t="s">
        <v>74</v>
      </c>
      <c r="L96" t="s">
        <v>74</v>
      </c>
      <c r="M96" t="s">
        <v>77</v>
      </c>
      <c r="N96" t="s">
        <v>78</v>
      </c>
      <c r="O96" t="s">
        <v>74</v>
      </c>
      <c r="P96" t="s">
        <v>74</v>
      </c>
      <c r="Q96" t="s">
        <v>74</v>
      </c>
      <c r="R96" t="s">
        <v>74</v>
      </c>
      <c r="S96" t="s">
        <v>74</v>
      </c>
      <c r="T96" t="s">
        <v>1661</v>
      </c>
      <c r="U96" t="s">
        <v>1662</v>
      </c>
      <c r="V96" t="s">
        <v>1663</v>
      </c>
      <c r="W96" t="s">
        <v>1664</v>
      </c>
      <c r="X96" t="s">
        <v>1665</v>
      </c>
      <c r="Y96" t="s">
        <v>1666</v>
      </c>
      <c r="Z96" t="s">
        <v>1667</v>
      </c>
      <c r="AA96" t="s">
        <v>1668</v>
      </c>
      <c r="AB96" t="s">
        <v>1669</v>
      </c>
      <c r="AC96" t="s">
        <v>74</v>
      </c>
      <c r="AD96" t="s">
        <v>74</v>
      </c>
      <c r="AE96" t="s">
        <v>74</v>
      </c>
      <c r="AF96" t="s">
        <v>74</v>
      </c>
      <c r="AG96">
        <v>17</v>
      </c>
      <c r="AH96">
        <v>60</v>
      </c>
      <c r="AI96">
        <v>65</v>
      </c>
      <c r="AJ96">
        <v>0</v>
      </c>
      <c r="AK96">
        <v>13</v>
      </c>
      <c r="AL96" t="s">
        <v>1580</v>
      </c>
      <c r="AM96" t="s">
        <v>256</v>
      </c>
      <c r="AN96" t="s">
        <v>1581</v>
      </c>
      <c r="AO96" t="s">
        <v>1670</v>
      </c>
      <c r="AP96" t="s">
        <v>1671</v>
      </c>
      <c r="AQ96" t="s">
        <v>74</v>
      </c>
      <c r="AR96" t="s">
        <v>1672</v>
      </c>
      <c r="AS96" t="s">
        <v>1673</v>
      </c>
      <c r="AT96" t="s">
        <v>1072</v>
      </c>
      <c r="AU96">
        <v>2005</v>
      </c>
      <c r="AV96">
        <v>62</v>
      </c>
      <c r="AW96">
        <v>4</v>
      </c>
      <c r="AX96" t="s">
        <v>74</v>
      </c>
      <c r="AY96" t="s">
        <v>74</v>
      </c>
      <c r="AZ96" t="s">
        <v>74</v>
      </c>
      <c r="BA96" t="s">
        <v>74</v>
      </c>
      <c r="BB96">
        <v>818</v>
      </c>
      <c r="BC96">
        <v>831</v>
      </c>
      <c r="BD96" t="s">
        <v>74</v>
      </c>
      <c r="BE96" t="s">
        <v>1674</v>
      </c>
      <c r="BF96" t="str">
        <f>HYPERLINK("http://dx.doi.org/10.1016/j.icesjms.2004.12.020","http://dx.doi.org/10.1016/j.icesjms.2004.12.020")</f>
        <v>http://dx.doi.org/10.1016/j.icesjms.2004.12.020</v>
      </c>
      <c r="BG96" t="s">
        <v>74</v>
      </c>
      <c r="BH96" t="s">
        <v>74</v>
      </c>
      <c r="BI96">
        <v>14</v>
      </c>
      <c r="BJ96" t="s">
        <v>1675</v>
      </c>
      <c r="BK96" t="s">
        <v>95</v>
      </c>
      <c r="BL96" t="s">
        <v>1675</v>
      </c>
      <c r="BM96" t="s">
        <v>1676</v>
      </c>
      <c r="BN96" t="s">
        <v>74</v>
      </c>
      <c r="BO96" t="s">
        <v>855</v>
      </c>
      <c r="BP96" t="s">
        <v>74</v>
      </c>
      <c r="BQ96" t="s">
        <v>74</v>
      </c>
      <c r="BR96" t="s">
        <v>97</v>
      </c>
      <c r="BS96" t="s">
        <v>1677</v>
      </c>
      <c r="BT96" t="str">
        <f>HYPERLINK("https%3A%2F%2Fwww.webofscience.com%2Fwos%2Fwoscc%2Ffull-record%2FWOS:000229694200020","View Full Record in Web of Science")</f>
        <v>View Full Record in Web of Science</v>
      </c>
    </row>
    <row r="97" spans="1:72" x14ac:dyDescent="0.15">
      <c r="A97" t="s">
        <v>72</v>
      </c>
      <c r="B97" t="s">
        <v>1678</v>
      </c>
      <c r="C97" t="s">
        <v>74</v>
      </c>
      <c r="D97" t="s">
        <v>74</v>
      </c>
      <c r="E97" t="s">
        <v>74</v>
      </c>
      <c r="F97" t="s">
        <v>1678</v>
      </c>
      <c r="G97" t="s">
        <v>74</v>
      </c>
      <c r="H97" t="s">
        <v>74</v>
      </c>
      <c r="I97" t="s">
        <v>1679</v>
      </c>
      <c r="J97" t="s">
        <v>1680</v>
      </c>
      <c r="K97" t="s">
        <v>74</v>
      </c>
      <c r="L97" t="s">
        <v>74</v>
      </c>
      <c r="M97" t="s">
        <v>77</v>
      </c>
      <c r="N97" t="s">
        <v>78</v>
      </c>
      <c r="O97" t="s">
        <v>74</v>
      </c>
      <c r="P97" t="s">
        <v>74</v>
      </c>
      <c r="Q97" t="s">
        <v>74</v>
      </c>
      <c r="R97" t="s">
        <v>74</v>
      </c>
      <c r="S97" t="s">
        <v>74</v>
      </c>
      <c r="T97" t="s">
        <v>1681</v>
      </c>
      <c r="U97" t="s">
        <v>1682</v>
      </c>
      <c r="V97" t="s">
        <v>1683</v>
      </c>
      <c r="W97" t="s">
        <v>1684</v>
      </c>
      <c r="X97" t="s">
        <v>1685</v>
      </c>
      <c r="Y97" t="s">
        <v>1686</v>
      </c>
      <c r="Z97" t="s">
        <v>1687</v>
      </c>
      <c r="AA97" t="s">
        <v>74</v>
      </c>
      <c r="AB97" t="s">
        <v>1688</v>
      </c>
      <c r="AC97" t="s">
        <v>74</v>
      </c>
      <c r="AD97" t="s">
        <v>74</v>
      </c>
      <c r="AE97" t="s">
        <v>74</v>
      </c>
      <c r="AF97" t="s">
        <v>74</v>
      </c>
      <c r="AG97">
        <v>42</v>
      </c>
      <c r="AH97">
        <v>24</v>
      </c>
      <c r="AI97">
        <v>26</v>
      </c>
      <c r="AJ97">
        <v>0</v>
      </c>
      <c r="AK97">
        <v>5</v>
      </c>
      <c r="AL97" t="s">
        <v>1689</v>
      </c>
      <c r="AM97" t="s">
        <v>134</v>
      </c>
      <c r="AN97" t="s">
        <v>1690</v>
      </c>
      <c r="AO97" t="s">
        <v>1691</v>
      </c>
      <c r="AP97" t="s">
        <v>1692</v>
      </c>
      <c r="AQ97" t="s">
        <v>74</v>
      </c>
      <c r="AR97" t="s">
        <v>1693</v>
      </c>
      <c r="AS97" t="s">
        <v>1694</v>
      </c>
      <c r="AT97" t="s">
        <v>1072</v>
      </c>
      <c r="AU97">
        <v>2005</v>
      </c>
      <c r="AV97">
        <v>115</v>
      </c>
      <c r="AW97">
        <v>6</v>
      </c>
      <c r="AX97" t="s">
        <v>74</v>
      </c>
      <c r="AY97" t="s">
        <v>74</v>
      </c>
      <c r="AZ97" t="s">
        <v>74</v>
      </c>
      <c r="BA97" t="s">
        <v>74</v>
      </c>
      <c r="BB97">
        <v>1297</v>
      </c>
      <c r="BC97">
        <v>1303</v>
      </c>
      <c r="BD97" t="s">
        <v>74</v>
      </c>
      <c r="BE97" t="s">
        <v>1695</v>
      </c>
      <c r="BF97" t="str">
        <f>HYPERLINK("http://dx.doi.org/10.1016/j.jaci.2005.03.003","http://dx.doi.org/10.1016/j.jaci.2005.03.003")</f>
        <v>http://dx.doi.org/10.1016/j.jaci.2005.03.003</v>
      </c>
      <c r="BG97" t="s">
        <v>74</v>
      </c>
      <c r="BH97" t="s">
        <v>74</v>
      </c>
      <c r="BI97">
        <v>7</v>
      </c>
      <c r="BJ97" t="s">
        <v>1696</v>
      </c>
      <c r="BK97" t="s">
        <v>95</v>
      </c>
      <c r="BL97" t="s">
        <v>1696</v>
      </c>
      <c r="BM97" t="s">
        <v>1697</v>
      </c>
      <c r="BN97">
        <v>15940150</v>
      </c>
      <c r="BO97" t="s">
        <v>539</v>
      </c>
      <c r="BP97" t="s">
        <v>74</v>
      </c>
      <c r="BQ97" t="s">
        <v>74</v>
      </c>
      <c r="BR97" t="s">
        <v>97</v>
      </c>
      <c r="BS97" t="s">
        <v>1698</v>
      </c>
      <c r="BT97" t="str">
        <f>HYPERLINK("https%3A%2F%2Fwww.webofscience.com%2Fwos%2Fwoscc%2Ffull-record%2FWOS:000229815400030","View Full Record in Web of Science")</f>
        <v>View Full Record in Web of Science</v>
      </c>
    </row>
    <row r="98" spans="1:72" x14ac:dyDescent="0.15">
      <c r="A98" t="s">
        <v>72</v>
      </c>
      <c r="B98" t="s">
        <v>1699</v>
      </c>
      <c r="C98" t="s">
        <v>74</v>
      </c>
      <c r="D98" t="s">
        <v>74</v>
      </c>
      <c r="E98" t="s">
        <v>74</v>
      </c>
      <c r="F98" t="s">
        <v>1699</v>
      </c>
      <c r="G98" t="s">
        <v>74</v>
      </c>
      <c r="H98" t="s">
        <v>74</v>
      </c>
      <c r="I98" t="s">
        <v>1700</v>
      </c>
      <c r="J98" t="s">
        <v>1701</v>
      </c>
      <c r="K98" t="s">
        <v>74</v>
      </c>
      <c r="L98" t="s">
        <v>74</v>
      </c>
      <c r="M98" t="s">
        <v>77</v>
      </c>
      <c r="N98" t="s">
        <v>495</v>
      </c>
      <c r="O98" t="s">
        <v>1702</v>
      </c>
      <c r="P98" t="s">
        <v>1703</v>
      </c>
      <c r="Q98" t="s">
        <v>1704</v>
      </c>
      <c r="R98" t="s">
        <v>74</v>
      </c>
      <c r="S98" t="s">
        <v>1705</v>
      </c>
      <c r="T98" t="s">
        <v>1706</v>
      </c>
      <c r="U98" t="s">
        <v>1707</v>
      </c>
      <c r="V98" t="s">
        <v>1708</v>
      </c>
      <c r="W98" t="s">
        <v>1709</v>
      </c>
      <c r="X98" t="s">
        <v>1710</v>
      </c>
      <c r="Y98" t="s">
        <v>1711</v>
      </c>
      <c r="Z98" t="s">
        <v>1712</v>
      </c>
      <c r="AA98" t="s">
        <v>74</v>
      </c>
      <c r="AB98" t="s">
        <v>74</v>
      </c>
      <c r="AC98" t="s">
        <v>74</v>
      </c>
      <c r="AD98" t="s">
        <v>74</v>
      </c>
      <c r="AE98" t="s">
        <v>74</v>
      </c>
      <c r="AF98" t="s">
        <v>74</v>
      </c>
      <c r="AG98">
        <v>7</v>
      </c>
      <c r="AH98">
        <v>9</v>
      </c>
      <c r="AI98">
        <v>9</v>
      </c>
      <c r="AJ98">
        <v>0</v>
      </c>
      <c r="AK98">
        <v>0</v>
      </c>
      <c r="AL98" t="s">
        <v>1713</v>
      </c>
      <c r="AM98" t="s">
        <v>1714</v>
      </c>
      <c r="AN98" t="s">
        <v>1715</v>
      </c>
      <c r="AO98" t="s">
        <v>1716</v>
      </c>
      <c r="AP98" t="s">
        <v>74</v>
      </c>
      <c r="AQ98" t="s">
        <v>74</v>
      </c>
      <c r="AR98" t="s">
        <v>1717</v>
      </c>
      <c r="AS98" t="s">
        <v>1718</v>
      </c>
      <c r="AT98" t="s">
        <v>1719</v>
      </c>
      <c r="AU98">
        <v>2005</v>
      </c>
      <c r="AV98">
        <v>26</v>
      </c>
      <c r="AW98" t="s">
        <v>1720</v>
      </c>
      <c r="AX98" t="s">
        <v>74</v>
      </c>
      <c r="AY98" t="s">
        <v>74</v>
      </c>
      <c r="AZ98" t="s">
        <v>74</v>
      </c>
      <c r="BA98" t="s">
        <v>74</v>
      </c>
      <c r="BB98">
        <v>349</v>
      </c>
      <c r="BC98">
        <v>357</v>
      </c>
      <c r="BD98" t="s">
        <v>74</v>
      </c>
      <c r="BE98" t="s">
        <v>1721</v>
      </c>
      <c r="BF98" t="str">
        <f>HYPERLINK("http://dx.doi.org/10.1007/BF02702343","http://dx.doi.org/10.1007/BF02702343")</f>
        <v>http://dx.doi.org/10.1007/BF02702343</v>
      </c>
      <c r="BG98" t="s">
        <v>74</v>
      </c>
      <c r="BH98" t="s">
        <v>74</v>
      </c>
      <c r="BI98">
        <v>9</v>
      </c>
      <c r="BJ98" t="s">
        <v>853</v>
      </c>
      <c r="BK98" t="s">
        <v>989</v>
      </c>
      <c r="BL98" t="s">
        <v>853</v>
      </c>
      <c r="BM98" t="s">
        <v>1722</v>
      </c>
      <c r="BN98" t="s">
        <v>74</v>
      </c>
      <c r="BO98" t="s">
        <v>74</v>
      </c>
      <c r="BP98" t="s">
        <v>74</v>
      </c>
      <c r="BQ98" t="s">
        <v>74</v>
      </c>
      <c r="BR98" t="s">
        <v>97</v>
      </c>
      <c r="BS98" t="s">
        <v>1723</v>
      </c>
      <c r="BT98" t="str">
        <f>HYPERLINK("https%3A%2F%2Fwww.webofscience.com%2Fwos%2Fwoscc%2Ffull-record%2FWOS:000231987900024","View Full Record in Web of Science")</f>
        <v>View Full Record in Web of Science</v>
      </c>
    </row>
    <row r="99" spans="1:72" x14ac:dyDescent="0.15">
      <c r="A99" t="s">
        <v>72</v>
      </c>
      <c r="B99" t="s">
        <v>1724</v>
      </c>
      <c r="C99" t="s">
        <v>74</v>
      </c>
      <c r="D99" t="s">
        <v>74</v>
      </c>
      <c r="E99" t="s">
        <v>74</v>
      </c>
      <c r="F99" t="s">
        <v>1724</v>
      </c>
      <c r="G99" t="s">
        <v>74</v>
      </c>
      <c r="H99" t="s">
        <v>74</v>
      </c>
      <c r="I99" t="s">
        <v>1725</v>
      </c>
      <c r="J99" t="s">
        <v>1726</v>
      </c>
      <c r="K99" t="s">
        <v>74</v>
      </c>
      <c r="L99" t="s">
        <v>74</v>
      </c>
      <c r="M99" t="s">
        <v>77</v>
      </c>
      <c r="N99" t="s">
        <v>78</v>
      </c>
      <c r="O99" t="s">
        <v>74</v>
      </c>
      <c r="P99" t="s">
        <v>74</v>
      </c>
      <c r="Q99" t="s">
        <v>74</v>
      </c>
      <c r="R99" t="s">
        <v>74</v>
      </c>
      <c r="S99" t="s">
        <v>74</v>
      </c>
      <c r="T99" t="s">
        <v>74</v>
      </c>
      <c r="U99" t="s">
        <v>1727</v>
      </c>
      <c r="V99" t="s">
        <v>1728</v>
      </c>
      <c r="W99" t="s">
        <v>1729</v>
      </c>
      <c r="X99" t="s">
        <v>1730</v>
      </c>
      <c r="Y99" t="s">
        <v>1731</v>
      </c>
      <c r="Z99" t="s">
        <v>1732</v>
      </c>
      <c r="AA99" t="s">
        <v>1733</v>
      </c>
      <c r="AB99" t="s">
        <v>1734</v>
      </c>
      <c r="AC99" t="s">
        <v>74</v>
      </c>
      <c r="AD99" t="s">
        <v>74</v>
      </c>
      <c r="AE99" t="s">
        <v>74</v>
      </c>
      <c r="AF99" t="s">
        <v>74</v>
      </c>
      <c r="AG99">
        <v>23</v>
      </c>
      <c r="AH99">
        <v>27</v>
      </c>
      <c r="AI99">
        <v>31</v>
      </c>
      <c r="AJ99">
        <v>0</v>
      </c>
      <c r="AK99">
        <v>4</v>
      </c>
      <c r="AL99" t="s">
        <v>902</v>
      </c>
      <c r="AM99" t="s">
        <v>903</v>
      </c>
      <c r="AN99" t="s">
        <v>922</v>
      </c>
      <c r="AO99" t="s">
        <v>1735</v>
      </c>
      <c r="AP99" t="s">
        <v>74</v>
      </c>
      <c r="AQ99" t="s">
        <v>74</v>
      </c>
      <c r="AR99" t="s">
        <v>1736</v>
      </c>
      <c r="AS99" t="s">
        <v>1737</v>
      </c>
      <c r="AT99" t="s">
        <v>1072</v>
      </c>
      <c r="AU99">
        <v>2005</v>
      </c>
      <c r="AV99">
        <v>22</v>
      </c>
      <c r="AW99">
        <v>6</v>
      </c>
      <c r="AX99" t="s">
        <v>74</v>
      </c>
      <c r="AY99" t="s">
        <v>74</v>
      </c>
      <c r="AZ99" t="s">
        <v>74</v>
      </c>
      <c r="BA99" t="s">
        <v>74</v>
      </c>
      <c r="BB99">
        <v>721</v>
      </c>
      <c r="BC99">
        <v>734</v>
      </c>
      <c r="BD99" t="s">
        <v>74</v>
      </c>
      <c r="BE99" t="s">
        <v>1738</v>
      </c>
      <c r="BF99" t="str">
        <f>HYPERLINK("http://dx.doi.org/10.1175/JTECH1735.1","http://dx.doi.org/10.1175/JTECH1735.1")</f>
        <v>http://dx.doi.org/10.1175/JTECH1735.1</v>
      </c>
      <c r="BG99" t="s">
        <v>74</v>
      </c>
      <c r="BH99" t="s">
        <v>74</v>
      </c>
      <c r="BI99">
        <v>14</v>
      </c>
      <c r="BJ99" t="s">
        <v>1739</v>
      </c>
      <c r="BK99" t="s">
        <v>95</v>
      </c>
      <c r="BL99" t="s">
        <v>1740</v>
      </c>
      <c r="BM99" t="s">
        <v>1741</v>
      </c>
      <c r="BN99" t="s">
        <v>74</v>
      </c>
      <c r="BO99" t="s">
        <v>539</v>
      </c>
      <c r="BP99" t="s">
        <v>74</v>
      </c>
      <c r="BQ99" t="s">
        <v>74</v>
      </c>
      <c r="BR99" t="s">
        <v>97</v>
      </c>
      <c r="BS99" t="s">
        <v>1742</v>
      </c>
      <c r="BT99" t="str">
        <f>HYPERLINK("https%3A%2F%2Fwww.webofscience.com%2Fwos%2Fwoscc%2Ffull-record%2FWOS:000230140600009","View Full Record in Web of Science")</f>
        <v>View Full Record in Web of Science</v>
      </c>
    </row>
    <row r="100" spans="1:72" x14ac:dyDescent="0.15">
      <c r="A100" t="s">
        <v>72</v>
      </c>
      <c r="B100" t="s">
        <v>1743</v>
      </c>
      <c r="C100" t="s">
        <v>74</v>
      </c>
      <c r="D100" t="s">
        <v>74</v>
      </c>
      <c r="E100" t="s">
        <v>74</v>
      </c>
      <c r="F100" t="s">
        <v>1743</v>
      </c>
      <c r="G100" t="s">
        <v>74</v>
      </c>
      <c r="H100" t="s">
        <v>74</v>
      </c>
      <c r="I100" t="s">
        <v>1744</v>
      </c>
      <c r="J100" t="s">
        <v>1745</v>
      </c>
      <c r="K100" t="s">
        <v>74</v>
      </c>
      <c r="L100" t="s">
        <v>74</v>
      </c>
      <c r="M100" t="s">
        <v>77</v>
      </c>
      <c r="N100" t="s">
        <v>78</v>
      </c>
      <c r="O100" t="s">
        <v>74</v>
      </c>
      <c r="P100" t="s">
        <v>74</v>
      </c>
      <c r="Q100" t="s">
        <v>74</v>
      </c>
      <c r="R100" t="s">
        <v>74</v>
      </c>
      <c r="S100" t="s">
        <v>74</v>
      </c>
      <c r="T100" t="s">
        <v>74</v>
      </c>
      <c r="U100" t="s">
        <v>1746</v>
      </c>
      <c r="V100" t="s">
        <v>1747</v>
      </c>
      <c r="W100" t="s">
        <v>1748</v>
      </c>
      <c r="X100" t="s">
        <v>1749</v>
      </c>
      <c r="Y100" t="s">
        <v>1750</v>
      </c>
      <c r="Z100" t="s">
        <v>1751</v>
      </c>
      <c r="AA100" t="s">
        <v>1752</v>
      </c>
      <c r="AB100" t="s">
        <v>1753</v>
      </c>
      <c r="AC100" t="s">
        <v>74</v>
      </c>
      <c r="AD100" t="s">
        <v>74</v>
      </c>
      <c r="AE100" t="s">
        <v>74</v>
      </c>
      <c r="AF100" t="s">
        <v>74</v>
      </c>
      <c r="AG100">
        <v>15</v>
      </c>
      <c r="AH100">
        <v>15</v>
      </c>
      <c r="AI100">
        <v>17</v>
      </c>
      <c r="AJ100">
        <v>0</v>
      </c>
      <c r="AK100">
        <v>3</v>
      </c>
      <c r="AL100" t="s">
        <v>1444</v>
      </c>
      <c r="AM100" t="s">
        <v>739</v>
      </c>
      <c r="AN100" t="s">
        <v>1445</v>
      </c>
      <c r="AO100" t="s">
        <v>1754</v>
      </c>
      <c r="AP100" t="s">
        <v>1755</v>
      </c>
      <c r="AQ100" t="s">
        <v>74</v>
      </c>
      <c r="AR100" t="s">
        <v>1756</v>
      </c>
      <c r="AS100" t="s">
        <v>1757</v>
      </c>
      <c r="AT100" t="s">
        <v>1328</v>
      </c>
      <c r="AU100">
        <v>2005</v>
      </c>
      <c r="AV100" t="s">
        <v>74</v>
      </c>
      <c r="AW100">
        <v>2</v>
      </c>
      <c r="AX100" t="s">
        <v>74</v>
      </c>
      <c r="AY100" t="s">
        <v>74</v>
      </c>
      <c r="AZ100" t="s">
        <v>74</v>
      </c>
      <c r="BA100" t="s">
        <v>74</v>
      </c>
      <c r="BB100">
        <v>37</v>
      </c>
      <c r="BC100">
        <v>43</v>
      </c>
      <c r="BD100" t="s">
        <v>74</v>
      </c>
      <c r="BE100" t="s">
        <v>1758</v>
      </c>
      <c r="BF100" t="str">
        <f>HYPERLINK("http://dx.doi.org/10.1155/JAMMC.2005.37","http://dx.doi.org/10.1155/JAMMC.2005.37")</f>
        <v>http://dx.doi.org/10.1155/JAMMC.2005.37</v>
      </c>
      <c r="BG100" t="s">
        <v>74</v>
      </c>
      <c r="BH100" t="s">
        <v>74</v>
      </c>
      <c r="BI100">
        <v>7</v>
      </c>
      <c r="BJ100" t="s">
        <v>1759</v>
      </c>
      <c r="BK100" t="s">
        <v>95</v>
      </c>
      <c r="BL100" t="s">
        <v>1760</v>
      </c>
      <c r="BM100" t="s">
        <v>1761</v>
      </c>
      <c r="BN100">
        <v>18924627</v>
      </c>
      <c r="BO100" t="s">
        <v>1762</v>
      </c>
      <c r="BP100" t="s">
        <v>74</v>
      </c>
      <c r="BQ100" t="s">
        <v>74</v>
      </c>
      <c r="BR100" t="s">
        <v>97</v>
      </c>
      <c r="BS100" t="s">
        <v>1763</v>
      </c>
      <c r="BT100" t="str">
        <f>HYPERLINK("https%3A%2F%2Fwww.webofscience.com%2Fwos%2Fwoscc%2Ffull-record%2FWOS:000232854600002","View Full Record in Web of Science")</f>
        <v>View Full Record in Web of Science</v>
      </c>
    </row>
    <row r="101" spans="1:72" x14ac:dyDescent="0.15">
      <c r="A101" t="s">
        <v>72</v>
      </c>
      <c r="B101" t="s">
        <v>1764</v>
      </c>
      <c r="C101" t="s">
        <v>74</v>
      </c>
      <c r="D101" t="s">
        <v>74</v>
      </c>
      <c r="E101" t="s">
        <v>74</v>
      </c>
      <c r="F101" t="s">
        <v>1764</v>
      </c>
      <c r="G101" t="s">
        <v>74</v>
      </c>
      <c r="H101" t="s">
        <v>74</v>
      </c>
      <c r="I101" t="s">
        <v>1765</v>
      </c>
      <c r="J101" t="s">
        <v>893</v>
      </c>
      <c r="K101" t="s">
        <v>74</v>
      </c>
      <c r="L101" t="s">
        <v>74</v>
      </c>
      <c r="M101" t="s">
        <v>77</v>
      </c>
      <c r="N101" t="s">
        <v>78</v>
      </c>
      <c r="O101" t="s">
        <v>74</v>
      </c>
      <c r="P101" t="s">
        <v>74</v>
      </c>
      <c r="Q101" t="s">
        <v>74</v>
      </c>
      <c r="R101" t="s">
        <v>74</v>
      </c>
      <c r="S101" t="s">
        <v>74</v>
      </c>
      <c r="T101" t="s">
        <v>74</v>
      </c>
      <c r="U101" t="s">
        <v>1766</v>
      </c>
      <c r="V101" t="s">
        <v>1767</v>
      </c>
      <c r="W101" t="s">
        <v>1768</v>
      </c>
      <c r="X101" t="s">
        <v>1769</v>
      </c>
      <c r="Y101" t="s">
        <v>1770</v>
      </c>
      <c r="Z101" t="s">
        <v>1771</v>
      </c>
      <c r="AA101" t="s">
        <v>1772</v>
      </c>
      <c r="AB101" t="s">
        <v>1773</v>
      </c>
      <c r="AC101" t="s">
        <v>74</v>
      </c>
      <c r="AD101" t="s">
        <v>74</v>
      </c>
      <c r="AE101" t="s">
        <v>74</v>
      </c>
      <c r="AF101" t="s">
        <v>74</v>
      </c>
      <c r="AG101">
        <v>40</v>
      </c>
      <c r="AH101">
        <v>113</v>
      </c>
      <c r="AI101">
        <v>125</v>
      </c>
      <c r="AJ101">
        <v>0</v>
      </c>
      <c r="AK101">
        <v>33</v>
      </c>
      <c r="AL101" t="s">
        <v>902</v>
      </c>
      <c r="AM101" t="s">
        <v>903</v>
      </c>
      <c r="AN101" t="s">
        <v>922</v>
      </c>
      <c r="AO101" t="s">
        <v>905</v>
      </c>
      <c r="AP101" t="s">
        <v>74</v>
      </c>
      <c r="AQ101" t="s">
        <v>74</v>
      </c>
      <c r="AR101" t="s">
        <v>907</v>
      </c>
      <c r="AS101" t="s">
        <v>908</v>
      </c>
      <c r="AT101" t="s">
        <v>1328</v>
      </c>
      <c r="AU101">
        <v>2005</v>
      </c>
      <c r="AV101">
        <v>18</v>
      </c>
      <c r="AW101">
        <v>11</v>
      </c>
      <c r="AX101" t="s">
        <v>74</v>
      </c>
      <c r="AY101" t="s">
        <v>74</v>
      </c>
      <c r="AZ101" t="s">
        <v>74</v>
      </c>
      <c r="BA101" t="s">
        <v>74</v>
      </c>
      <c r="BB101">
        <v>1673</v>
      </c>
      <c r="BC101">
        <v>1696</v>
      </c>
      <c r="BD101" t="s">
        <v>74</v>
      </c>
      <c r="BE101" t="s">
        <v>1774</v>
      </c>
      <c r="BF101" t="str">
        <f>HYPERLINK("http://dx.doi.org/10.1175/JCLI3360.1","http://dx.doi.org/10.1175/JCLI3360.1")</f>
        <v>http://dx.doi.org/10.1175/JCLI3360.1</v>
      </c>
      <c r="BG101" t="s">
        <v>74</v>
      </c>
      <c r="BH101" t="s">
        <v>74</v>
      </c>
      <c r="BI101">
        <v>24</v>
      </c>
      <c r="BJ101" t="s">
        <v>401</v>
      </c>
      <c r="BK101" t="s">
        <v>95</v>
      </c>
      <c r="BL101" t="s">
        <v>401</v>
      </c>
      <c r="BM101" t="s">
        <v>1775</v>
      </c>
      <c r="BN101" t="s">
        <v>74</v>
      </c>
      <c r="BO101" t="s">
        <v>1776</v>
      </c>
      <c r="BP101" t="s">
        <v>74</v>
      </c>
      <c r="BQ101" t="s">
        <v>74</v>
      </c>
      <c r="BR101" t="s">
        <v>97</v>
      </c>
      <c r="BS101" t="s">
        <v>1777</v>
      </c>
      <c r="BT101" t="str">
        <f>HYPERLINK("https%3A%2F%2Fwww.webofscience.com%2Fwos%2Fwoscc%2Ffull-record%2FWOS:000229970500003","View Full Record in Web of Science")</f>
        <v>View Full Record in Web of Science</v>
      </c>
    </row>
    <row r="102" spans="1:72" x14ac:dyDescent="0.15">
      <c r="A102" t="s">
        <v>72</v>
      </c>
      <c r="B102" t="s">
        <v>1778</v>
      </c>
      <c r="C102" t="s">
        <v>74</v>
      </c>
      <c r="D102" t="s">
        <v>74</v>
      </c>
      <c r="E102" t="s">
        <v>74</v>
      </c>
      <c r="F102" t="s">
        <v>1778</v>
      </c>
      <c r="G102" t="s">
        <v>74</v>
      </c>
      <c r="H102" t="s">
        <v>74</v>
      </c>
      <c r="I102" t="s">
        <v>1779</v>
      </c>
      <c r="J102" t="s">
        <v>1780</v>
      </c>
      <c r="K102" t="s">
        <v>74</v>
      </c>
      <c r="L102" t="s">
        <v>74</v>
      </c>
      <c r="M102" t="s">
        <v>77</v>
      </c>
      <c r="N102" t="s">
        <v>78</v>
      </c>
      <c r="O102" t="s">
        <v>74</v>
      </c>
      <c r="P102" t="s">
        <v>74</v>
      </c>
      <c r="Q102" t="s">
        <v>74</v>
      </c>
      <c r="R102" t="s">
        <v>74</v>
      </c>
      <c r="S102" t="s">
        <v>74</v>
      </c>
      <c r="T102" t="s">
        <v>1781</v>
      </c>
      <c r="U102" t="s">
        <v>1782</v>
      </c>
      <c r="V102" t="s">
        <v>1783</v>
      </c>
      <c r="W102" t="s">
        <v>1784</v>
      </c>
      <c r="X102" t="s">
        <v>1785</v>
      </c>
      <c r="Y102" t="s">
        <v>1786</v>
      </c>
      <c r="Z102" t="s">
        <v>1787</v>
      </c>
      <c r="AA102" t="s">
        <v>74</v>
      </c>
      <c r="AB102" t="s">
        <v>1788</v>
      </c>
      <c r="AC102" t="s">
        <v>74</v>
      </c>
      <c r="AD102" t="s">
        <v>74</v>
      </c>
      <c r="AE102" t="s">
        <v>74</v>
      </c>
      <c r="AF102" t="s">
        <v>74</v>
      </c>
      <c r="AG102">
        <v>67</v>
      </c>
      <c r="AH102">
        <v>9</v>
      </c>
      <c r="AI102">
        <v>9</v>
      </c>
      <c r="AJ102">
        <v>0</v>
      </c>
      <c r="AK102">
        <v>8</v>
      </c>
      <c r="AL102" t="s">
        <v>1789</v>
      </c>
      <c r="AM102" t="s">
        <v>1790</v>
      </c>
      <c r="AN102" t="s">
        <v>1791</v>
      </c>
      <c r="AO102" t="s">
        <v>1792</v>
      </c>
      <c r="AP102" t="s">
        <v>1793</v>
      </c>
      <c r="AQ102" t="s">
        <v>74</v>
      </c>
      <c r="AR102" t="s">
        <v>1794</v>
      </c>
      <c r="AS102" t="s">
        <v>1795</v>
      </c>
      <c r="AT102" t="s">
        <v>1072</v>
      </c>
      <c r="AU102">
        <v>2005</v>
      </c>
      <c r="AV102">
        <v>191</v>
      </c>
      <c r="AW102">
        <v>6</v>
      </c>
      <c r="AX102" t="s">
        <v>74</v>
      </c>
      <c r="AY102" t="s">
        <v>74</v>
      </c>
      <c r="AZ102" t="s">
        <v>74</v>
      </c>
      <c r="BA102" t="s">
        <v>74</v>
      </c>
      <c r="BB102">
        <v>511</v>
      </c>
      <c r="BC102">
        <v>520</v>
      </c>
      <c r="BD102" t="s">
        <v>74</v>
      </c>
      <c r="BE102" t="s">
        <v>1796</v>
      </c>
      <c r="BF102" t="str">
        <f>HYPERLINK("http://dx.doi.org/10.1007/s00359-005-0617-9","http://dx.doi.org/10.1007/s00359-005-0617-9")</f>
        <v>http://dx.doi.org/10.1007/s00359-005-0617-9</v>
      </c>
      <c r="BG102" t="s">
        <v>74</v>
      </c>
      <c r="BH102" t="s">
        <v>74</v>
      </c>
      <c r="BI102">
        <v>10</v>
      </c>
      <c r="BJ102" t="s">
        <v>1797</v>
      </c>
      <c r="BK102" t="s">
        <v>95</v>
      </c>
      <c r="BL102" t="s">
        <v>1798</v>
      </c>
      <c r="BM102" t="s">
        <v>1799</v>
      </c>
      <c r="BN102">
        <v>15838651</v>
      </c>
      <c r="BO102" t="s">
        <v>74</v>
      </c>
      <c r="BP102" t="s">
        <v>74</v>
      </c>
      <c r="BQ102" t="s">
        <v>74</v>
      </c>
      <c r="BR102" t="s">
        <v>97</v>
      </c>
      <c r="BS102" t="s">
        <v>1800</v>
      </c>
      <c r="BT102" t="str">
        <f>HYPERLINK("https%3A%2F%2Fwww.webofscience.com%2Fwos%2Fwoscc%2Ffull-record%2FWOS:000229877500003","View Full Record in Web of Science")</f>
        <v>View Full Record in Web of Science</v>
      </c>
    </row>
    <row r="103" spans="1:72" x14ac:dyDescent="0.15">
      <c r="A103" t="s">
        <v>72</v>
      </c>
      <c r="B103" t="s">
        <v>1801</v>
      </c>
      <c r="C103" t="s">
        <v>74</v>
      </c>
      <c r="D103" t="s">
        <v>74</v>
      </c>
      <c r="E103" t="s">
        <v>74</v>
      </c>
      <c r="F103" t="s">
        <v>1801</v>
      </c>
      <c r="G103" t="s">
        <v>74</v>
      </c>
      <c r="H103" t="s">
        <v>74</v>
      </c>
      <c r="I103" t="s">
        <v>1802</v>
      </c>
      <c r="J103" t="s">
        <v>1803</v>
      </c>
      <c r="K103" t="s">
        <v>74</v>
      </c>
      <c r="L103" t="s">
        <v>74</v>
      </c>
      <c r="M103" t="s">
        <v>77</v>
      </c>
      <c r="N103" t="s">
        <v>78</v>
      </c>
      <c r="O103" t="s">
        <v>74</v>
      </c>
      <c r="P103" t="s">
        <v>74</v>
      </c>
      <c r="Q103" t="s">
        <v>74</v>
      </c>
      <c r="R103" t="s">
        <v>74</v>
      </c>
      <c r="S103" t="s">
        <v>74</v>
      </c>
      <c r="T103" t="s">
        <v>1804</v>
      </c>
      <c r="U103" t="s">
        <v>1805</v>
      </c>
      <c r="V103" t="s">
        <v>1806</v>
      </c>
      <c r="W103" t="s">
        <v>1807</v>
      </c>
      <c r="X103" t="s">
        <v>1808</v>
      </c>
      <c r="Y103" t="s">
        <v>1809</v>
      </c>
      <c r="Z103" t="s">
        <v>1810</v>
      </c>
      <c r="AA103" t="s">
        <v>1811</v>
      </c>
      <c r="AB103" t="s">
        <v>74</v>
      </c>
      <c r="AC103" t="s">
        <v>74</v>
      </c>
      <c r="AD103" t="s">
        <v>74</v>
      </c>
      <c r="AE103" t="s">
        <v>74</v>
      </c>
      <c r="AF103" t="s">
        <v>74</v>
      </c>
      <c r="AG103">
        <v>53</v>
      </c>
      <c r="AH103">
        <v>25</v>
      </c>
      <c r="AI103">
        <v>26</v>
      </c>
      <c r="AJ103">
        <v>0</v>
      </c>
      <c r="AK103">
        <v>15</v>
      </c>
      <c r="AL103" t="s">
        <v>1812</v>
      </c>
      <c r="AM103" t="s">
        <v>1813</v>
      </c>
      <c r="AN103" t="s">
        <v>1814</v>
      </c>
      <c r="AO103" t="s">
        <v>1815</v>
      </c>
      <c r="AP103" t="s">
        <v>1816</v>
      </c>
      <c r="AQ103" t="s">
        <v>74</v>
      </c>
      <c r="AR103" t="s">
        <v>1817</v>
      </c>
      <c r="AS103" t="s">
        <v>1818</v>
      </c>
      <c r="AT103" t="s">
        <v>1072</v>
      </c>
      <c r="AU103">
        <v>2005</v>
      </c>
      <c r="AV103">
        <v>208</v>
      </c>
      <c r="AW103">
        <v>12</v>
      </c>
      <c r="AX103" t="s">
        <v>74</v>
      </c>
      <c r="AY103" t="s">
        <v>74</v>
      </c>
      <c r="AZ103" t="s">
        <v>74</v>
      </c>
      <c r="BA103" t="s">
        <v>74</v>
      </c>
      <c r="BB103">
        <v>2363</v>
      </c>
      <c r="BC103">
        <v>2376</v>
      </c>
      <c r="BD103" t="s">
        <v>74</v>
      </c>
      <c r="BE103" t="s">
        <v>1819</v>
      </c>
      <c r="BF103" t="str">
        <f>HYPERLINK("http://dx.doi.org/10.1242/jeb.01647","http://dx.doi.org/10.1242/jeb.01647")</f>
        <v>http://dx.doi.org/10.1242/jeb.01647</v>
      </c>
      <c r="BG103" t="s">
        <v>74</v>
      </c>
      <c r="BH103" t="s">
        <v>74</v>
      </c>
      <c r="BI103">
        <v>14</v>
      </c>
      <c r="BJ103" t="s">
        <v>1820</v>
      </c>
      <c r="BK103" t="s">
        <v>95</v>
      </c>
      <c r="BL103" t="s">
        <v>1821</v>
      </c>
      <c r="BM103" t="s">
        <v>1822</v>
      </c>
      <c r="BN103">
        <v>15939776</v>
      </c>
      <c r="BO103" t="s">
        <v>539</v>
      </c>
      <c r="BP103" t="s">
        <v>74</v>
      </c>
      <c r="BQ103" t="s">
        <v>74</v>
      </c>
      <c r="BR103" t="s">
        <v>97</v>
      </c>
      <c r="BS103" t="s">
        <v>1823</v>
      </c>
      <c r="BT103" t="str">
        <f>HYPERLINK("https%3A%2F%2Fwww.webofscience.com%2Fwos%2Fwoscc%2Ffull-record%2FWOS:000230360700017","View Full Record in Web of Science")</f>
        <v>View Full Record in Web of Science</v>
      </c>
    </row>
    <row r="104" spans="1:72" x14ac:dyDescent="0.15">
      <c r="A104" t="s">
        <v>72</v>
      </c>
      <c r="B104" t="s">
        <v>1824</v>
      </c>
      <c r="C104" t="s">
        <v>74</v>
      </c>
      <c r="D104" t="s">
        <v>74</v>
      </c>
      <c r="E104" t="s">
        <v>74</v>
      </c>
      <c r="F104" t="s">
        <v>1824</v>
      </c>
      <c r="G104" t="s">
        <v>74</v>
      </c>
      <c r="H104" t="s">
        <v>74</v>
      </c>
      <c r="I104" t="s">
        <v>1825</v>
      </c>
      <c r="J104" t="s">
        <v>1803</v>
      </c>
      <c r="K104" t="s">
        <v>74</v>
      </c>
      <c r="L104" t="s">
        <v>74</v>
      </c>
      <c r="M104" t="s">
        <v>77</v>
      </c>
      <c r="N104" t="s">
        <v>78</v>
      </c>
      <c r="O104" t="s">
        <v>74</v>
      </c>
      <c r="P104" t="s">
        <v>74</v>
      </c>
      <c r="Q104" t="s">
        <v>74</v>
      </c>
      <c r="R104" t="s">
        <v>74</v>
      </c>
      <c r="S104" t="s">
        <v>74</v>
      </c>
      <c r="T104" t="s">
        <v>1826</v>
      </c>
      <c r="U104" t="s">
        <v>1827</v>
      </c>
      <c r="V104" t="s">
        <v>1828</v>
      </c>
      <c r="W104" t="s">
        <v>127</v>
      </c>
      <c r="X104" t="s">
        <v>128</v>
      </c>
      <c r="Y104" t="s">
        <v>1829</v>
      </c>
      <c r="Z104" t="s">
        <v>1830</v>
      </c>
      <c r="AA104" t="s">
        <v>1831</v>
      </c>
      <c r="AB104" t="s">
        <v>132</v>
      </c>
      <c r="AC104" t="s">
        <v>74</v>
      </c>
      <c r="AD104" t="s">
        <v>74</v>
      </c>
      <c r="AE104" t="s">
        <v>74</v>
      </c>
      <c r="AF104" t="s">
        <v>74</v>
      </c>
      <c r="AG104">
        <v>56</v>
      </c>
      <c r="AH104">
        <v>33</v>
      </c>
      <c r="AI104">
        <v>34</v>
      </c>
      <c r="AJ104">
        <v>2</v>
      </c>
      <c r="AK104">
        <v>10</v>
      </c>
      <c r="AL104" t="s">
        <v>1832</v>
      </c>
      <c r="AM104" t="s">
        <v>1813</v>
      </c>
      <c r="AN104" t="s">
        <v>1833</v>
      </c>
      <c r="AO104" t="s">
        <v>1815</v>
      </c>
      <c r="AP104" t="s">
        <v>74</v>
      </c>
      <c r="AQ104" t="s">
        <v>74</v>
      </c>
      <c r="AR104" t="s">
        <v>1817</v>
      </c>
      <c r="AS104" t="s">
        <v>1818</v>
      </c>
      <c r="AT104" t="s">
        <v>1072</v>
      </c>
      <c r="AU104">
        <v>2005</v>
      </c>
      <c r="AV104">
        <v>208</v>
      </c>
      <c r="AW104">
        <v>12</v>
      </c>
      <c r="AX104" t="s">
        <v>74</v>
      </c>
      <c r="AY104" t="s">
        <v>74</v>
      </c>
      <c r="AZ104" t="s">
        <v>74</v>
      </c>
      <c r="BA104" t="s">
        <v>74</v>
      </c>
      <c r="BB104">
        <v>2409</v>
      </c>
      <c r="BC104">
        <v>2420</v>
      </c>
      <c r="BD104" t="s">
        <v>74</v>
      </c>
      <c r="BE104" t="s">
        <v>1834</v>
      </c>
      <c r="BF104" t="str">
        <f>HYPERLINK("http://dx.doi.org/10.1242/jeb.01632","http://dx.doi.org/10.1242/jeb.01632")</f>
        <v>http://dx.doi.org/10.1242/jeb.01632</v>
      </c>
      <c r="BG104" t="s">
        <v>74</v>
      </c>
      <c r="BH104" t="s">
        <v>74</v>
      </c>
      <c r="BI104">
        <v>12</v>
      </c>
      <c r="BJ104" t="s">
        <v>1820</v>
      </c>
      <c r="BK104" t="s">
        <v>95</v>
      </c>
      <c r="BL104" t="s">
        <v>1821</v>
      </c>
      <c r="BM104" t="s">
        <v>1822</v>
      </c>
      <c r="BN104">
        <v>15939780</v>
      </c>
      <c r="BO104" t="s">
        <v>143</v>
      </c>
      <c r="BP104" t="s">
        <v>74</v>
      </c>
      <c r="BQ104" t="s">
        <v>74</v>
      </c>
      <c r="BR104" t="s">
        <v>97</v>
      </c>
      <c r="BS104" t="s">
        <v>1835</v>
      </c>
      <c r="BT104" t="str">
        <f>HYPERLINK("https%3A%2F%2Fwww.webofscience.com%2Fwos%2Fwoscc%2Ffull-record%2FWOS:000230360700021","View Full Record in Web of Science")</f>
        <v>View Full Record in Web of Science</v>
      </c>
    </row>
    <row r="105" spans="1:72" x14ac:dyDescent="0.15">
      <c r="A105" t="s">
        <v>72</v>
      </c>
      <c r="B105" t="s">
        <v>1836</v>
      </c>
      <c r="C105" t="s">
        <v>74</v>
      </c>
      <c r="D105" t="s">
        <v>74</v>
      </c>
      <c r="E105" t="s">
        <v>74</v>
      </c>
      <c r="F105" t="s">
        <v>1836</v>
      </c>
      <c r="G105" t="s">
        <v>74</v>
      </c>
      <c r="H105" t="s">
        <v>74</v>
      </c>
      <c r="I105" t="s">
        <v>1837</v>
      </c>
      <c r="J105" t="s">
        <v>1803</v>
      </c>
      <c r="K105" t="s">
        <v>74</v>
      </c>
      <c r="L105" t="s">
        <v>74</v>
      </c>
      <c r="M105" t="s">
        <v>77</v>
      </c>
      <c r="N105" t="s">
        <v>78</v>
      </c>
      <c r="O105" t="s">
        <v>74</v>
      </c>
      <c r="P105" t="s">
        <v>74</v>
      </c>
      <c r="Q105" t="s">
        <v>74</v>
      </c>
      <c r="R105" t="s">
        <v>74</v>
      </c>
      <c r="S105" t="s">
        <v>74</v>
      </c>
      <c r="T105" t="s">
        <v>1838</v>
      </c>
      <c r="U105" t="s">
        <v>1839</v>
      </c>
      <c r="V105" t="s">
        <v>1840</v>
      </c>
      <c r="W105" t="s">
        <v>1841</v>
      </c>
      <c r="X105" t="s">
        <v>1842</v>
      </c>
      <c r="Y105" t="s">
        <v>1843</v>
      </c>
      <c r="Z105" t="s">
        <v>1844</v>
      </c>
      <c r="AA105" t="s">
        <v>74</v>
      </c>
      <c r="AB105" t="s">
        <v>1845</v>
      </c>
      <c r="AC105" t="s">
        <v>74</v>
      </c>
      <c r="AD105" t="s">
        <v>74</v>
      </c>
      <c r="AE105" t="s">
        <v>74</v>
      </c>
      <c r="AF105" t="s">
        <v>74</v>
      </c>
      <c r="AG105">
        <v>76</v>
      </c>
      <c r="AH105">
        <v>52</v>
      </c>
      <c r="AI105">
        <v>56</v>
      </c>
      <c r="AJ105">
        <v>0</v>
      </c>
      <c r="AK105">
        <v>13</v>
      </c>
      <c r="AL105" t="s">
        <v>1812</v>
      </c>
      <c r="AM105" t="s">
        <v>1813</v>
      </c>
      <c r="AN105" t="s">
        <v>1814</v>
      </c>
      <c r="AO105" t="s">
        <v>1815</v>
      </c>
      <c r="AP105" t="s">
        <v>1816</v>
      </c>
      <c r="AQ105" t="s">
        <v>74</v>
      </c>
      <c r="AR105" t="s">
        <v>1817</v>
      </c>
      <c r="AS105" t="s">
        <v>1818</v>
      </c>
      <c r="AT105" t="s">
        <v>1072</v>
      </c>
      <c r="AU105">
        <v>2005</v>
      </c>
      <c r="AV105">
        <v>208</v>
      </c>
      <c r="AW105">
        <v>12</v>
      </c>
      <c r="AX105" t="s">
        <v>74</v>
      </c>
      <c r="AY105" t="s">
        <v>74</v>
      </c>
      <c r="AZ105" t="s">
        <v>74</v>
      </c>
      <c r="BA105" t="s">
        <v>74</v>
      </c>
      <c r="BB105">
        <v>2433</v>
      </c>
      <c r="BC105">
        <v>2445</v>
      </c>
      <c r="BD105" t="s">
        <v>74</v>
      </c>
      <c r="BE105" t="s">
        <v>1846</v>
      </c>
      <c r="BF105" t="str">
        <f>HYPERLINK("http://dx.doi.org/10.1242/jeb.01629","http://dx.doi.org/10.1242/jeb.01629")</f>
        <v>http://dx.doi.org/10.1242/jeb.01629</v>
      </c>
      <c r="BG105" t="s">
        <v>74</v>
      </c>
      <c r="BH105" t="s">
        <v>74</v>
      </c>
      <c r="BI105">
        <v>13</v>
      </c>
      <c r="BJ105" t="s">
        <v>1820</v>
      </c>
      <c r="BK105" t="s">
        <v>95</v>
      </c>
      <c r="BL105" t="s">
        <v>1821</v>
      </c>
      <c r="BM105" t="s">
        <v>1822</v>
      </c>
      <c r="BN105">
        <v>15939782</v>
      </c>
      <c r="BO105" t="s">
        <v>539</v>
      </c>
      <c r="BP105" t="s">
        <v>74</v>
      </c>
      <c r="BQ105" t="s">
        <v>74</v>
      </c>
      <c r="BR105" t="s">
        <v>97</v>
      </c>
      <c r="BS105" t="s">
        <v>1847</v>
      </c>
      <c r="BT105" t="str">
        <f>HYPERLINK("https%3A%2F%2Fwww.webofscience.com%2Fwos%2Fwoscc%2Ffull-record%2FWOS:000230360700023","View Full Record in Web of Science")</f>
        <v>View Full Record in Web of Science</v>
      </c>
    </row>
    <row r="106" spans="1:72" x14ac:dyDescent="0.15">
      <c r="A106" t="s">
        <v>72</v>
      </c>
      <c r="B106" t="s">
        <v>1848</v>
      </c>
      <c r="C106" t="s">
        <v>74</v>
      </c>
      <c r="D106" t="s">
        <v>74</v>
      </c>
      <c r="E106" t="s">
        <v>74</v>
      </c>
      <c r="F106" t="s">
        <v>1848</v>
      </c>
      <c r="G106" t="s">
        <v>74</v>
      </c>
      <c r="H106" t="s">
        <v>74</v>
      </c>
      <c r="I106" t="s">
        <v>1849</v>
      </c>
      <c r="J106" t="s">
        <v>1850</v>
      </c>
      <c r="K106" t="s">
        <v>74</v>
      </c>
      <c r="L106" t="s">
        <v>74</v>
      </c>
      <c r="M106" t="s">
        <v>77</v>
      </c>
      <c r="N106" t="s">
        <v>484</v>
      </c>
      <c r="O106" t="s">
        <v>74</v>
      </c>
      <c r="P106" t="s">
        <v>74</v>
      </c>
      <c r="Q106" t="s">
        <v>74</v>
      </c>
      <c r="R106" t="s">
        <v>74</v>
      </c>
      <c r="S106" t="s">
        <v>74</v>
      </c>
      <c r="T106" t="s">
        <v>74</v>
      </c>
      <c r="U106" t="s">
        <v>74</v>
      </c>
      <c r="V106" t="s">
        <v>74</v>
      </c>
      <c r="W106" t="s">
        <v>74</v>
      </c>
      <c r="X106" t="s">
        <v>74</v>
      </c>
      <c r="Y106" t="s">
        <v>74</v>
      </c>
      <c r="Z106" t="s">
        <v>74</v>
      </c>
      <c r="AA106" t="s">
        <v>74</v>
      </c>
      <c r="AB106" t="s">
        <v>74</v>
      </c>
      <c r="AC106" t="s">
        <v>74</v>
      </c>
      <c r="AD106" t="s">
        <v>74</v>
      </c>
      <c r="AE106" t="s">
        <v>74</v>
      </c>
      <c r="AF106" t="s">
        <v>74</v>
      </c>
      <c r="AG106">
        <v>1</v>
      </c>
      <c r="AH106">
        <v>0</v>
      </c>
      <c r="AI106">
        <v>0</v>
      </c>
      <c r="AJ106">
        <v>0</v>
      </c>
      <c r="AK106">
        <v>0</v>
      </c>
      <c r="AL106" t="s">
        <v>1851</v>
      </c>
      <c r="AM106" t="s">
        <v>1852</v>
      </c>
      <c r="AN106" t="s">
        <v>1853</v>
      </c>
      <c r="AO106" t="s">
        <v>1854</v>
      </c>
      <c r="AP106" t="s">
        <v>74</v>
      </c>
      <c r="AQ106" t="s">
        <v>74</v>
      </c>
      <c r="AR106" t="s">
        <v>1855</v>
      </c>
      <c r="AS106" t="s">
        <v>1856</v>
      </c>
      <c r="AT106" t="s">
        <v>1072</v>
      </c>
      <c r="AU106">
        <v>2005</v>
      </c>
      <c r="AV106">
        <v>66</v>
      </c>
      <c r="AW106">
        <v>6</v>
      </c>
      <c r="AX106" t="s">
        <v>74</v>
      </c>
      <c r="AY106" t="s">
        <v>74</v>
      </c>
      <c r="AZ106" t="s">
        <v>74</v>
      </c>
      <c r="BA106" t="s">
        <v>74</v>
      </c>
      <c r="BB106">
        <v>1759</v>
      </c>
      <c r="BC106">
        <v>1759</v>
      </c>
      <c r="BD106" t="s">
        <v>74</v>
      </c>
      <c r="BE106" t="s">
        <v>74</v>
      </c>
      <c r="BF106" t="s">
        <v>74</v>
      </c>
      <c r="BG106" t="s">
        <v>74</v>
      </c>
      <c r="BH106" t="s">
        <v>74</v>
      </c>
      <c r="BI106">
        <v>1</v>
      </c>
      <c r="BJ106" t="s">
        <v>1857</v>
      </c>
      <c r="BK106" t="s">
        <v>95</v>
      </c>
      <c r="BL106" t="s">
        <v>1857</v>
      </c>
      <c r="BM106" t="s">
        <v>1858</v>
      </c>
      <c r="BN106" t="s">
        <v>74</v>
      </c>
      <c r="BO106" t="s">
        <v>74</v>
      </c>
      <c r="BP106" t="s">
        <v>74</v>
      </c>
      <c r="BQ106" t="s">
        <v>74</v>
      </c>
      <c r="BR106" t="s">
        <v>97</v>
      </c>
      <c r="BS106" t="s">
        <v>1859</v>
      </c>
      <c r="BT106" t="str">
        <f>HYPERLINK("https%3A%2F%2Fwww.webofscience.com%2Fwos%2Fwoscc%2Ffull-record%2FWOS:000230121200021","View Full Record in Web of Science")</f>
        <v>View Full Record in Web of Science</v>
      </c>
    </row>
    <row r="107" spans="1:72" x14ac:dyDescent="0.15">
      <c r="A107" t="s">
        <v>72</v>
      </c>
      <c r="B107" t="s">
        <v>1848</v>
      </c>
      <c r="C107" t="s">
        <v>74</v>
      </c>
      <c r="D107" t="s">
        <v>74</v>
      </c>
      <c r="E107" t="s">
        <v>74</v>
      </c>
      <c r="F107" t="s">
        <v>1848</v>
      </c>
      <c r="G107" t="s">
        <v>74</v>
      </c>
      <c r="H107" t="s">
        <v>74</v>
      </c>
      <c r="I107" t="s">
        <v>1860</v>
      </c>
      <c r="J107" t="s">
        <v>1850</v>
      </c>
      <c r="K107" t="s">
        <v>74</v>
      </c>
      <c r="L107" t="s">
        <v>74</v>
      </c>
      <c r="M107" t="s">
        <v>77</v>
      </c>
      <c r="N107" t="s">
        <v>484</v>
      </c>
      <c r="O107" t="s">
        <v>74</v>
      </c>
      <c r="P107" t="s">
        <v>74</v>
      </c>
      <c r="Q107" t="s">
        <v>74</v>
      </c>
      <c r="R107" t="s">
        <v>74</v>
      </c>
      <c r="S107" t="s">
        <v>74</v>
      </c>
      <c r="T107" t="s">
        <v>74</v>
      </c>
      <c r="U107" t="s">
        <v>74</v>
      </c>
      <c r="V107" t="s">
        <v>74</v>
      </c>
      <c r="W107" t="s">
        <v>1861</v>
      </c>
      <c r="X107" t="s">
        <v>1862</v>
      </c>
      <c r="Y107" t="s">
        <v>1863</v>
      </c>
      <c r="Z107" t="s">
        <v>74</v>
      </c>
      <c r="AA107" t="s">
        <v>74</v>
      </c>
      <c r="AB107" t="s">
        <v>74</v>
      </c>
      <c r="AC107" t="s">
        <v>74</v>
      </c>
      <c r="AD107" t="s">
        <v>74</v>
      </c>
      <c r="AE107" t="s">
        <v>74</v>
      </c>
      <c r="AF107" t="s">
        <v>74</v>
      </c>
      <c r="AG107">
        <v>1</v>
      </c>
      <c r="AH107">
        <v>0</v>
      </c>
      <c r="AI107">
        <v>0</v>
      </c>
      <c r="AJ107">
        <v>0</v>
      </c>
      <c r="AK107">
        <v>0</v>
      </c>
      <c r="AL107" t="s">
        <v>1851</v>
      </c>
      <c r="AM107" t="s">
        <v>1852</v>
      </c>
      <c r="AN107" t="s">
        <v>1853</v>
      </c>
      <c r="AO107" t="s">
        <v>1854</v>
      </c>
      <c r="AP107" t="s">
        <v>74</v>
      </c>
      <c r="AQ107" t="s">
        <v>74</v>
      </c>
      <c r="AR107" t="s">
        <v>1855</v>
      </c>
      <c r="AS107" t="s">
        <v>1856</v>
      </c>
      <c r="AT107" t="s">
        <v>1072</v>
      </c>
      <c r="AU107">
        <v>2005</v>
      </c>
      <c r="AV107">
        <v>66</v>
      </c>
      <c r="AW107">
        <v>6</v>
      </c>
      <c r="AX107" t="s">
        <v>74</v>
      </c>
      <c r="AY107" t="s">
        <v>74</v>
      </c>
      <c r="AZ107" t="s">
        <v>74</v>
      </c>
      <c r="BA107" t="s">
        <v>74</v>
      </c>
      <c r="BB107">
        <v>1759</v>
      </c>
      <c r="BC107">
        <v>1759</v>
      </c>
      <c r="BD107" t="s">
        <v>74</v>
      </c>
      <c r="BE107" t="s">
        <v>1864</v>
      </c>
      <c r="BF107" t="str">
        <f>HYPERLINK("http://dx.doi.org/10.1111/j.1095-8649.2005.00837.x","http://dx.doi.org/10.1111/j.1095-8649.2005.00837.x")</f>
        <v>http://dx.doi.org/10.1111/j.1095-8649.2005.00837.x</v>
      </c>
      <c r="BG107" t="s">
        <v>74</v>
      </c>
      <c r="BH107" t="s">
        <v>74</v>
      </c>
      <c r="BI107">
        <v>1</v>
      </c>
      <c r="BJ107" t="s">
        <v>1857</v>
      </c>
      <c r="BK107" t="s">
        <v>95</v>
      </c>
      <c r="BL107" t="s">
        <v>1857</v>
      </c>
      <c r="BM107" t="s">
        <v>1858</v>
      </c>
      <c r="BN107" t="s">
        <v>74</v>
      </c>
      <c r="BO107" t="s">
        <v>74</v>
      </c>
      <c r="BP107" t="s">
        <v>74</v>
      </c>
      <c r="BQ107" t="s">
        <v>74</v>
      </c>
      <c r="BR107" t="s">
        <v>97</v>
      </c>
      <c r="BS107" t="s">
        <v>1865</v>
      </c>
      <c r="BT107" t="str">
        <f>HYPERLINK("https%3A%2F%2Fwww.webofscience.com%2Fwos%2Fwoscc%2Ffull-record%2FWOS:000230121200022","View Full Record in Web of Science")</f>
        <v>View Full Record in Web of Science</v>
      </c>
    </row>
    <row r="108" spans="1:72" x14ac:dyDescent="0.15">
      <c r="A108" t="s">
        <v>72</v>
      </c>
      <c r="B108" t="s">
        <v>1866</v>
      </c>
      <c r="C108" t="s">
        <v>74</v>
      </c>
      <c r="D108" t="s">
        <v>74</v>
      </c>
      <c r="E108" t="s">
        <v>74</v>
      </c>
      <c r="F108" t="s">
        <v>1866</v>
      </c>
      <c r="G108" t="s">
        <v>74</v>
      </c>
      <c r="H108" t="s">
        <v>74</v>
      </c>
      <c r="I108" t="s">
        <v>1867</v>
      </c>
      <c r="J108" t="s">
        <v>1868</v>
      </c>
      <c r="K108" t="s">
        <v>74</v>
      </c>
      <c r="L108" t="s">
        <v>74</v>
      </c>
      <c r="M108" t="s">
        <v>77</v>
      </c>
      <c r="N108" t="s">
        <v>78</v>
      </c>
      <c r="O108" t="s">
        <v>74</v>
      </c>
      <c r="P108" t="s">
        <v>74</v>
      </c>
      <c r="Q108" t="s">
        <v>74</v>
      </c>
      <c r="R108" t="s">
        <v>74</v>
      </c>
      <c r="S108" t="s">
        <v>74</v>
      </c>
      <c r="T108" t="s">
        <v>74</v>
      </c>
      <c r="U108" t="s">
        <v>1869</v>
      </c>
      <c r="V108" t="s">
        <v>1870</v>
      </c>
      <c r="W108" t="s">
        <v>1871</v>
      </c>
      <c r="X108" t="s">
        <v>1872</v>
      </c>
      <c r="Y108" t="s">
        <v>1873</v>
      </c>
      <c r="Z108" t="s">
        <v>1874</v>
      </c>
      <c r="AA108" t="s">
        <v>1875</v>
      </c>
      <c r="AB108" t="s">
        <v>1876</v>
      </c>
      <c r="AC108" t="s">
        <v>74</v>
      </c>
      <c r="AD108" t="s">
        <v>74</v>
      </c>
      <c r="AE108" t="s">
        <v>74</v>
      </c>
      <c r="AF108" t="s">
        <v>74</v>
      </c>
      <c r="AG108">
        <v>45</v>
      </c>
      <c r="AH108">
        <v>28</v>
      </c>
      <c r="AI108">
        <v>30</v>
      </c>
      <c r="AJ108">
        <v>0</v>
      </c>
      <c r="AK108">
        <v>7</v>
      </c>
      <c r="AL108" t="s">
        <v>527</v>
      </c>
      <c r="AM108" t="s">
        <v>528</v>
      </c>
      <c r="AN108" t="s">
        <v>529</v>
      </c>
      <c r="AO108" t="s">
        <v>1877</v>
      </c>
      <c r="AP108" t="s">
        <v>1878</v>
      </c>
      <c r="AQ108" t="s">
        <v>74</v>
      </c>
      <c r="AR108" t="s">
        <v>1879</v>
      </c>
      <c r="AS108" t="s">
        <v>1880</v>
      </c>
      <c r="AT108" t="s">
        <v>1328</v>
      </c>
      <c r="AU108">
        <v>2005</v>
      </c>
      <c r="AV108">
        <v>110</v>
      </c>
      <c r="AW108" t="s">
        <v>1881</v>
      </c>
      <c r="AX108" t="s">
        <v>74</v>
      </c>
      <c r="AY108" t="s">
        <v>74</v>
      </c>
      <c r="AZ108" t="s">
        <v>74</v>
      </c>
      <c r="BA108" t="s">
        <v>74</v>
      </c>
      <c r="BB108" t="s">
        <v>74</v>
      </c>
      <c r="BC108" t="s">
        <v>74</v>
      </c>
      <c r="BD108" t="s">
        <v>1882</v>
      </c>
      <c r="BE108" t="s">
        <v>1883</v>
      </c>
      <c r="BF108" t="str">
        <f>HYPERLINK("http://dx.doi.org/10.1029/2004JD005322","http://dx.doi.org/10.1029/2004JD005322")</f>
        <v>http://dx.doi.org/10.1029/2004JD005322</v>
      </c>
      <c r="BG108" t="s">
        <v>74</v>
      </c>
      <c r="BH108" t="s">
        <v>74</v>
      </c>
      <c r="BI108">
        <v>20</v>
      </c>
      <c r="BJ108" t="s">
        <v>401</v>
      </c>
      <c r="BK108" t="s">
        <v>95</v>
      </c>
      <c r="BL108" t="s">
        <v>401</v>
      </c>
      <c r="BM108" t="s">
        <v>1884</v>
      </c>
      <c r="BN108" t="s">
        <v>74</v>
      </c>
      <c r="BO108" t="s">
        <v>539</v>
      </c>
      <c r="BP108" t="s">
        <v>74</v>
      </c>
      <c r="BQ108" t="s">
        <v>74</v>
      </c>
      <c r="BR108" t="s">
        <v>97</v>
      </c>
      <c r="BS108" t="s">
        <v>1885</v>
      </c>
      <c r="BT108" t="str">
        <f>HYPERLINK("https%3A%2F%2Fwww.webofscience.com%2Fwos%2Fwoscc%2Ffull-record%2FWOS:000229829100004","View Full Record in Web of Science")</f>
        <v>View Full Record in Web of Science</v>
      </c>
    </row>
    <row r="109" spans="1:72" x14ac:dyDescent="0.15">
      <c r="A109" t="s">
        <v>72</v>
      </c>
      <c r="B109" t="s">
        <v>1886</v>
      </c>
      <c r="C109" t="s">
        <v>74</v>
      </c>
      <c r="D109" t="s">
        <v>74</v>
      </c>
      <c r="E109" t="s">
        <v>74</v>
      </c>
      <c r="F109" t="s">
        <v>1886</v>
      </c>
      <c r="G109" t="s">
        <v>74</v>
      </c>
      <c r="H109" t="s">
        <v>74</v>
      </c>
      <c r="I109" t="s">
        <v>1887</v>
      </c>
      <c r="J109" t="s">
        <v>617</v>
      </c>
      <c r="K109" t="s">
        <v>74</v>
      </c>
      <c r="L109" t="s">
        <v>74</v>
      </c>
      <c r="M109" t="s">
        <v>77</v>
      </c>
      <c r="N109" t="s">
        <v>78</v>
      </c>
      <c r="O109" t="s">
        <v>74</v>
      </c>
      <c r="P109" t="s">
        <v>74</v>
      </c>
      <c r="Q109" t="s">
        <v>74</v>
      </c>
      <c r="R109" t="s">
        <v>74</v>
      </c>
      <c r="S109" t="s">
        <v>74</v>
      </c>
      <c r="T109" t="s">
        <v>74</v>
      </c>
      <c r="U109" t="s">
        <v>1888</v>
      </c>
      <c r="V109" t="s">
        <v>1889</v>
      </c>
      <c r="W109" t="s">
        <v>1890</v>
      </c>
      <c r="X109" t="s">
        <v>1891</v>
      </c>
      <c r="Y109" t="s">
        <v>1892</v>
      </c>
      <c r="Z109" t="s">
        <v>1893</v>
      </c>
      <c r="AA109" t="s">
        <v>1894</v>
      </c>
      <c r="AB109" t="s">
        <v>74</v>
      </c>
      <c r="AC109" t="s">
        <v>74</v>
      </c>
      <c r="AD109" t="s">
        <v>74</v>
      </c>
      <c r="AE109" t="s">
        <v>74</v>
      </c>
      <c r="AF109" t="s">
        <v>74</v>
      </c>
      <c r="AG109">
        <v>43</v>
      </c>
      <c r="AH109">
        <v>37</v>
      </c>
      <c r="AI109">
        <v>46</v>
      </c>
      <c r="AJ109">
        <v>2</v>
      </c>
      <c r="AK109">
        <v>12</v>
      </c>
      <c r="AL109" t="s">
        <v>527</v>
      </c>
      <c r="AM109" t="s">
        <v>528</v>
      </c>
      <c r="AN109" t="s">
        <v>529</v>
      </c>
      <c r="AO109" t="s">
        <v>625</v>
      </c>
      <c r="AP109" t="s">
        <v>626</v>
      </c>
      <c r="AQ109" t="s">
        <v>74</v>
      </c>
      <c r="AR109" t="s">
        <v>627</v>
      </c>
      <c r="AS109" t="s">
        <v>628</v>
      </c>
      <c r="AT109" t="s">
        <v>1328</v>
      </c>
      <c r="AU109">
        <v>2005</v>
      </c>
      <c r="AV109">
        <v>110</v>
      </c>
      <c r="AW109" t="s">
        <v>629</v>
      </c>
      <c r="AX109" t="s">
        <v>74</v>
      </c>
      <c r="AY109" t="s">
        <v>74</v>
      </c>
      <c r="AZ109" t="s">
        <v>74</v>
      </c>
      <c r="BA109" t="s">
        <v>74</v>
      </c>
      <c r="BB109" t="s">
        <v>74</v>
      </c>
      <c r="BC109" t="s">
        <v>74</v>
      </c>
      <c r="BD109" t="s">
        <v>1895</v>
      </c>
      <c r="BE109" t="s">
        <v>1896</v>
      </c>
      <c r="BF109" t="str">
        <f>HYPERLINK("http://dx.doi.org/10.1029/2003JC002212","http://dx.doi.org/10.1029/2003JC002212")</f>
        <v>http://dx.doi.org/10.1029/2003JC002212</v>
      </c>
      <c r="BG109" t="s">
        <v>74</v>
      </c>
      <c r="BH109" t="s">
        <v>74</v>
      </c>
      <c r="BI109">
        <v>11</v>
      </c>
      <c r="BJ109" t="s">
        <v>632</v>
      </c>
      <c r="BK109" t="s">
        <v>95</v>
      </c>
      <c r="BL109" t="s">
        <v>632</v>
      </c>
      <c r="BM109" t="s">
        <v>1897</v>
      </c>
      <c r="BN109" t="s">
        <v>74</v>
      </c>
      <c r="BO109" t="s">
        <v>539</v>
      </c>
      <c r="BP109" t="s">
        <v>74</v>
      </c>
      <c r="BQ109" t="s">
        <v>74</v>
      </c>
      <c r="BR109" t="s">
        <v>97</v>
      </c>
      <c r="BS109" t="s">
        <v>1898</v>
      </c>
      <c r="BT109" t="str">
        <f>HYPERLINK("https%3A%2F%2Fwww.webofscience.com%2Fwos%2Fwoscc%2Ffull-record%2FWOS:000229830300001","View Full Record in Web of Science")</f>
        <v>View Full Record in Web of Science</v>
      </c>
    </row>
    <row r="110" spans="1:72" x14ac:dyDescent="0.15">
      <c r="A110" t="s">
        <v>72</v>
      </c>
      <c r="B110" t="s">
        <v>1899</v>
      </c>
      <c r="C110" t="s">
        <v>74</v>
      </c>
      <c r="D110" t="s">
        <v>74</v>
      </c>
      <c r="E110" t="s">
        <v>74</v>
      </c>
      <c r="F110" t="s">
        <v>1899</v>
      </c>
      <c r="G110" t="s">
        <v>74</v>
      </c>
      <c r="H110" t="s">
        <v>74</v>
      </c>
      <c r="I110" t="s">
        <v>1900</v>
      </c>
      <c r="J110" t="s">
        <v>1901</v>
      </c>
      <c r="K110" t="s">
        <v>74</v>
      </c>
      <c r="L110" t="s">
        <v>74</v>
      </c>
      <c r="M110" t="s">
        <v>77</v>
      </c>
      <c r="N110" t="s">
        <v>78</v>
      </c>
      <c r="O110" t="s">
        <v>74</v>
      </c>
      <c r="P110" t="s">
        <v>74</v>
      </c>
      <c r="Q110" t="s">
        <v>74</v>
      </c>
      <c r="R110" t="s">
        <v>74</v>
      </c>
      <c r="S110" t="s">
        <v>74</v>
      </c>
      <c r="T110" t="s">
        <v>74</v>
      </c>
      <c r="U110" t="s">
        <v>1902</v>
      </c>
      <c r="V110" t="s">
        <v>1903</v>
      </c>
      <c r="W110" t="s">
        <v>1904</v>
      </c>
      <c r="X110" t="s">
        <v>1905</v>
      </c>
      <c r="Y110" t="s">
        <v>1906</v>
      </c>
      <c r="Z110" t="s">
        <v>1907</v>
      </c>
      <c r="AA110" t="s">
        <v>1908</v>
      </c>
      <c r="AB110" t="s">
        <v>1909</v>
      </c>
      <c r="AC110" t="s">
        <v>74</v>
      </c>
      <c r="AD110" t="s">
        <v>74</v>
      </c>
      <c r="AE110" t="s">
        <v>74</v>
      </c>
      <c r="AF110" t="s">
        <v>74</v>
      </c>
      <c r="AG110">
        <v>65</v>
      </c>
      <c r="AH110">
        <v>30</v>
      </c>
      <c r="AI110">
        <v>32</v>
      </c>
      <c r="AJ110">
        <v>0</v>
      </c>
      <c r="AK110">
        <v>7</v>
      </c>
      <c r="AL110" t="s">
        <v>1910</v>
      </c>
      <c r="AM110" t="s">
        <v>1911</v>
      </c>
      <c r="AN110" t="s">
        <v>1912</v>
      </c>
      <c r="AO110" t="s">
        <v>1913</v>
      </c>
      <c r="AP110" t="s">
        <v>1914</v>
      </c>
      <c r="AQ110" t="s">
        <v>74</v>
      </c>
      <c r="AR110" t="s">
        <v>1915</v>
      </c>
      <c r="AS110" t="s">
        <v>1916</v>
      </c>
      <c r="AT110" t="s">
        <v>1072</v>
      </c>
      <c r="AU110">
        <v>2005</v>
      </c>
      <c r="AV110">
        <v>34</v>
      </c>
      <c r="AW110">
        <v>3</v>
      </c>
      <c r="AX110" t="s">
        <v>74</v>
      </c>
      <c r="AY110" t="s">
        <v>74</v>
      </c>
      <c r="AZ110" t="s">
        <v>74</v>
      </c>
      <c r="BA110" t="s">
        <v>74</v>
      </c>
      <c r="BB110">
        <v>753</v>
      </c>
      <c r="BC110">
        <v>765</v>
      </c>
      <c r="BD110" t="s">
        <v>74</v>
      </c>
      <c r="BE110" t="s">
        <v>1917</v>
      </c>
      <c r="BF110" t="str">
        <f>HYPERLINK("http://dx.doi.org/10.1677/jme.1.01730","http://dx.doi.org/10.1677/jme.1.01730")</f>
        <v>http://dx.doi.org/10.1677/jme.1.01730</v>
      </c>
      <c r="BG110" t="s">
        <v>74</v>
      </c>
      <c r="BH110" t="s">
        <v>74</v>
      </c>
      <c r="BI110">
        <v>13</v>
      </c>
      <c r="BJ110" t="s">
        <v>1918</v>
      </c>
      <c r="BK110" t="s">
        <v>95</v>
      </c>
      <c r="BL110" t="s">
        <v>1918</v>
      </c>
      <c r="BM110" t="s">
        <v>1919</v>
      </c>
      <c r="BN110">
        <v>15956345</v>
      </c>
      <c r="BO110" t="s">
        <v>539</v>
      </c>
      <c r="BP110" t="s">
        <v>74</v>
      </c>
      <c r="BQ110" t="s">
        <v>74</v>
      </c>
      <c r="BR110" t="s">
        <v>97</v>
      </c>
      <c r="BS110" t="s">
        <v>1920</v>
      </c>
      <c r="BT110" t="str">
        <f>HYPERLINK("https%3A%2F%2Fwww.webofscience.com%2Fwos%2Fwoscc%2Ffull-record%2FWOS:000230201700015","View Full Record in Web of Science")</f>
        <v>View Full Record in Web of Science</v>
      </c>
    </row>
    <row r="111" spans="1:72" x14ac:dyDescent="0.15">
      <c r="A111" t="s">
        <v>72</v>
      </c>
      <c r="B111" t="s">
        <v>1921</v>
      </c>
      <c r="C111" t="s">
        <v>74</v>
      </c>
      <c r="D111" t="s">
        <v>74</v>
      </c>
      <c r="E111" t="s">
        <v>74</v>
      </c>
      <c r="F111" t="s">
        <v>1921</v>
      </c>
      <c r="G111" t="s">
        <v>74</v>
      </c>
      <c r="H111" t="s">
        <v>74</v>
      </c>
      <c r="I111" t="s">
        <v>1922</v>
      </c>
      <c r="J111" t="s">
        <v>1923</v>
      </c>
      <c r="K111" t="s">
        <v>74</v>
      </c>
      <c r="L111" t="s">
        <v>74</v>
      </c>
      <c r="M111" t="s">
        <v>77</v>
      </c>
      <c r="N111" t="s">
        <v>495</v>
      </c>
      <c r="O111" t="s">
        <v>1924</v>
      </c>
      <c r="P111" t="s">
        <v>1925</v>
      </c>
      <c r="Q111" t="s">
        <v>1926</v>
      </c>
      <c r="R111" t="s">
        <v>74</v>
      </c>
      <c r="S111" t="s">
        <v>74</v>
      </c>
      <c r="T111" t="s">
        <v>1927</v>
      </c>
      <c r="U111" t="s">
        <v>1928</v>
      </c>
      <c r="V111" t="s">
        <v>1929</v>
      </c>
      <c r="W111" t="s">
        <v>1930</v>
      </c>
      <c r="X111" t="s">
        <v>1931</v>
      </c>
      <c r="Y111" t="s">
        <v>1932</v>
      </c>
      <c r="Z111" t="s">
        <v>1933</v>
      </c>
      <c r="AA111" t="s">
        <v>74</v>
      </c>
      <c r="AB111" t="s">
        <v>1934</v>
      </c>
      <c r="AC111" t="s">
        <v>74</v>
      </c>
      <c r="AD111" t="s">
        <v>74</v>
      </c>
      <c r="AE111" t="s">
        <v>74</v>
      </c>
      <c r="AF111" t="s">
        <v>74</v>
      </c>
      <c r="AG111">
        <v>37</v>
      </c>
      <c r="AH111">
        <v>19</v>
      </c>
      <c r="AI111">
        <v>19</v>
      </c>
      <c r="AJ111">
        <v>0</v>
      </c>
      <c r="AK111">
        <v>4</v>
      </c>
      <c r="AL111" t="s">
        <v>133</v>
      </c>
      <c r="AM111" t="s">
        <v>374</v>
      </c>
      <c r="AN111" t="s">
        <v>375</v>
      </c>
      <c r="AO111" t="s">
        <v>1935</v>
      </c>
      <c r="AP111" t="s">
        <v>1936</v>
      </c>
      <c r="AQ111" t="s">
        <v>74</v>
      </c>
      <c r="AR111" t="s">
        <v>1937</v>
      </c>
      <c r="AS111" t="s">
        <v>1938</v>
      </c>
      <c r="AT111" t="s">
        <v>1072</v>
      </c>
      <c r="AU111">
        <v>2005</v>
      </c>
      <c r="AV111">
        <v>61</v>
      </c>
      <c r="AW111">
        <v>3</v>
      </c>
      <c r="AX111" t="s">
        <v>74</v>
      </c>
      <c r="AY111" t="s">
        <v>74</v>
      </c>
      <c r="AZ111" t="s">
        <v>74</v>
      </c>
      <c r="BA111" t="s">
        <v>74</v>
      </c>
      <c r="BB111">
        <v>493</v>
      </c>
      <c r="BC111">
        <v>507</v>
      </c>
      <c r="BD111" t="s">
        <v>74</v>
      </c>
      <c r="BE111" t="s">
        <v>1939</v>
      </c>
      <c r="BF111" t="str">
        <f>HYPERLINK("http://dx.doi.org/10.1007/s10872-005-0058-7","http://dx.doi.org/10.1007/s10872-005-0058-7")</f>
        <v>http://dx.doi.org/10.1007/s10872-005-0058-7</v>
      </c>
      <c r="BG111" t="s">
        <v>74</v>
      </c>
      <c r="BH111" t="s">
        <v>74</v>
      </c>
      <c r="BI111">
        <v>15</v>
      </c>
      <c r="BJ111" t="s">
        <v>632</v>
      </c>
      <c r="BK111" t="s">
        <v>514</v>
      </c>
      <c r="BL111" t="s">
        <v>632</v>
      </c>
      <c r="BM111" t="s">
        <v>1940</v>
      </c>
      <c r="BN111" t="s">
        <v>74</v>
      </c>
      <c r="BO111" t="s">
        <v>74</v>
      </c>
      <c r="BP111" t="s">
        <v>74</v>
      </c>
      <c r="BQ111" t="s">
        <v>74</v>
      </c>
      <c r="BR111" t="s">
        <v>97</v>
      </c>
      <c r="BS111" t="s">
        <v>1941</v>
      </c>
      <c r="BT111" t="str">
        <f>HYPERLINK("https%3A%2F%2Fwww.webofscience.com%2Fwos%2Fwoscc%2Ffull-record%2FWOS:000228874500011","View Full Record in Web of Science")</f>
        <v>View Full Record in Web of Science</v>
      </c>
    </row>
    <row r="112" spans="1:72" x14ac:dyDescent="0.15">
      <c r="A112" t="s">
        <v>72</v>
      </c>
      <c r="B112" t="s">
        <v>1942</v>
      </c>
      <c r="C112" t="s">
        <v>74</v>
      </c>
      <c r="D112" t="s">
        <v>74</v>
      </c>
      <c r="E112" t="s">
        <v>74</v>
      </c>
      <c r="F112" t="s">
        <v>1942</v>
      </c>
      <c r="G112" t="s">
        <v>74</v>
      </c>
      <c r="H112" t="s">
        <v>74</v>
      </c>
      <c r="I112" t="s">
        <v>1943</v>
      </c>
      <c r="J112" t="s">
        <v>1944</v>
      </c>
      <c r="K112" t="s">
        <v>74</v>
      </c>
      <c r="L112" t="s">
        <v>74</v>
      </c>
      <c r="M112" t="s">
        <v>77</v>
      </c>
      <c r="N112" t="s">
        <v>78</v>
      </c>
      <c r="O112" t="s">
        <v>74</v>
      </c>
      <c r="P112" t="s">
        <v>74</v>
      </c>
      <c r="Q112" t="s">
        <v>74</v>
      </c>
      <c r="R112" t="s">
        <v>74</v>
      </c>
      <c r="S112" t="s">
        <v>74</v>
      </c>
      <c r="T112" t="s">
        <v>1945</v>
      </c>
      <c r="U112" t="s">
        <v>1946</v>
      </c>
      <c r="V112" t="s">
        <v>1947</v>
      </c>
      <c r="W112" t="s">
        <v>1948</v>
      </c>
      <c r="X112" t="s">
        <v>1949</v>
      </c>
      <c r="Y112" t="s">
        <v>1950</v>
      </c>
      <c r="Z112" t="s">
        <v>1951</v>
      </c>
      <c r="AA112" t="s">
        <v>1952</v>
      </c>
      <c r="AB112" t="s">
        <v>1953</v>
      </c>
      <c r="AC112" t="s">
        <v>74</v>
      </c>
      <c r="AD112" t="s">
        <v>74</v>
      </c>
      <c r="AE112" t="s">
        <v>74</v>
      </c>
      <c r="AF112" t="s">
        <v>74</v>
      </c>
      <c r="AG112">
        <v>46</v>
      </c>
      <c r="AH112">
        <v>147</v>
      </c>
      <c r="AI112">
        <v>160</v>
      </c>
      <c r="AJ112">
        <v>0</v>
      </c>
      <c r="AK112">
        <v>45</v>
      </c>
      <c r="AL112" t="s">
        <v>472</v>
      </c>
      <c r="AM112" t="s">
        <v>473</v>
      </c>
      <c r="AN112" t="s">
        <v>474</v>
      </c>
      <c r="AO112" t="s">
        <v>1954</v>
      </c>
      <c r="AP112" t="s">
        <v>1955</v>
      </c>
      <c r="AQ112" t="s">
        <v>74</v>
      </c>
      <c r="AR112" t="s">
        <v>1956</v>
      </c>
      <c r="AS112" t="s">
        <v>1957</v>
      </c>
      <c r="AT112" t="s">
        <v>1072</v>
      </c>
      <c r="AU112">
        <v>2005</v>
      </c>
      <c r="AV112">
        <v>41</v>
      </c>
      <c r="AW112">
        <v>3</v>
      </c>
      <c r="AX112" t="s">
        <v>74</v>
      </c>
      <c r="AY112" t="s">
        <v>74</v>
      </c>
      <c r="AZ112" t="s">
        <v>74</v>
      </c>
      <c r="BA112" t="s">
        <v>74</v>
      </c>
      <c r="BB112">
        <v>557</v>
      </c>
      <c r="BC112">
        <v>566</v>
      </c>
      <c r="BD112" t="s">
        <v>74</v>
      </c>
      <c r="BE112" t="s">
        <v>1958</v>
      </c>
      <c r="BF112" t="str">
        <f>HYPERLINK("http://dx.doi.org/10.1111/j.1529-8817.2005.00081.x","http://dx.doi.org/10.1111/j.1529-8817.2005.00081.x")</f>
        <v>http://dx.doi.org/10.1111/j.1529-8817.2005.00081.x</v>
      </c>
      <c r="BG112" t="s">
        <v>74</v>
      </c>
      <c r="BH112" t="s">
        <v>74</v>
      </c>
      <c r="BI112">
        <v>10</v>
      </c>
      <c r="BJ112" t="s">
        <v>94</v>
      </c>
      <c r="BK112" t="s">
        <v>95</v>
      </c>
      <c r="BL112" t="s">
        <v>94</v>
      </c>
      <c r="BM112" t="s">
        <v>1959</v>
      </c>
      <c r="BN112" t="s">
        <v>74</v>
      </c>
      <c r="BO112" t="s">
        <v>74</v>
      </c>
      <c r="BP112" t="s">
        <v>74</v>
      </c>
      <c r="BQ112" t="s">
        <v>74</v>
      </c>
      <c r="BR112" t="s">
        <v>97</v>
      </c>
      <c r="BS112" t="s">
        <v>1960</v>
      </c>
      <c r="BT112" t="str">
        <f>HYPERLINK("https%3A%2F%2Fwww.webofscience.com%2Fwos%2Fwoscc%2Ffull-record%2FWOS:000229426700012","View Full Record in Web of Science")</f>
        <v>View Full Record in Web of Science</v>
      </c>
    </row>
    <row r="113" spans="1:72" x14ac:dyDescent="0.15">
      <c r="A113" t="s">
        <v>72</v>
      </c>
      <c r="B113" t="s">
        <v>1961</v>
      </c>
      <c r="C113" t="s">
        <v>74</v>
      </c>
      <c r="D113" t="s">
        <v>74</v>
      </c>
      <c r="E113" t="s">
        <v>74</v>
      </c>
      <c r="F113" t="s">
        <v>1961</v>
      </c>
      <c r="G113" t="s">
        <v>74</v>
      </c>
      <c r="H113" t="s">
        <v>74</v>
      </c>
      <c r="I113" t="s">
        <v>1962</v>
      </c>
      <c r="J113" t="s">
        <v>1963</v>
      </c>
      <c r="K113" t="s">
        <v>74</v>
      </c>
      <c r="L113" t="s">
        <v>74</v>
      </c>
      <c r="M113" t="s">
        <v>77</v>
      </c>
      <c r="N113" t="s">
        <v>78</v>
      </c>
      <c r="O113" t="s">
        <v>74</v>
      </c>
      <c r="P113" t="s">
        <v>74</v>
      </c>
      <c r="Q113" t="s">
        <v>74</v>
      </c>
      <c r="R113" t="s">
        <v>74</v>
      </c>
      <c r="S113" t="s">
        <v>74</v>
      </c>
      <c r="T113" t="s">
        <v>74</v>
      </c>
      <c r="U113" t="s">
        <v>1964</v>
      </c>
      <c r="V113" t="s">
        <v>1965</v>
      </c>
      <c r="W113" t="s">
        <v>1966</v>
      </c>
      <c r="X113" t="s">
        <v>1967</v>
      </c>
      <c r="Y113" t="s">
        <v>1968</v>
      </c>
      <c r="Z113" t="s">
        <v>1969</v>
      </c>
      <c r="AA113" t="s">
        <v>74</v>
      </c>
      <c r="AB113" t="s">
        <v>74</v>
      </c>
      <c r="AC113" t="s">
        <v>74</v>
      </c>
      <c r="AD113" t="s">
        <v>74</v>
      </c>
      <c r="AE113" t="s">
        <v>74</v>
      </c>
      <c r="AF113" t="s">
        <v>74</v>
      </c>
      <c r="AG113">
        <v>20</v>
      </c>
      <c r="AH113">
        <v>31</v>
      </c>
      <c r="AI113">
        <v>33</v>
      </c>
      <c r="AJ113">
        <v>0</v>
      </c>
      <c r="AK113">
        <v>4</v>
      </c>
      <c r="AL113" t="s">
        <v>902</v>
      </c>
      <c r="AM113" t="s">
        <v>903</v>
      </c>
      <c r="AN113" t="s">
        <v>922</v>
      </c>
      <c r="AO113" t="s">
        <v>1970</v>
      </c>
      <c r="AP113" t="s">
        <v>74</v>
      </c>
      <c r="AQ113" t="s">
        <v>74</v>
      </c>
      <c r="AR113" t="s">
        <v>1971</v>
      </c>
      <c r="AS113" t="s">
        <v>1972</v>
      </c>
      <c r="AT113" t="s">
        <v>1072</v>
      </c>
      <c r="AU113">
        <v>2005</v>
      </c>
      <c r="AV113">
        <v>35</v>
      </c>
      <c r="AW113">
        <v>6</v>
      </c>
      <c r="AX113" t="s">
        <v>74</v>
      </c>
      <c r="AY113" t="s">
        <v>74</v>
      </c>
      <c r="AZ113" t="s">
        <v>74</v>
      </c>
      <c r="BA113" t="s">
        <v>74</v>
      </c>
      <c r="BB113">
        <v>1143</v>
      </c>
      <c r="BC113">
        <v>1153</v>
      </c>
      <c r="BD113" t="s">
        <v>74</v>
      </c>
      <c r="BE113" t="s">
        <v>1973</v>
      </c>
      <c r="BF113" t="str">
        <f>HYPERLINK("http://dx.doi.org/10.1175/JPO2733.1","http://dx.doi.org/10.1175/JPO2733.1")</f>
        <v>http://dx.doi.org/10.1175/JPO2733.1</v>
      </c>
      <c r="BG113" t="s">
        <v>74</v>
      </c>
      <c r="BH113" t="s">
        <v>74</v>
      </c>
      <c r="BI113">
        <v>11</v>
      </c>
      <c r="BJ113" t="s">
        <v>632</v>
      </c>
      <c r="BK113" t="s">
        <v>95</v>
      </c>
      <c r="BL113" t="s">
        <v>632</v>
      </c>
      <c r="BM113" t="s">
        <v>1974</v>
      </c>
      <c r="BN113" t="s">
        <v>74</v>
      </c>
      <c r="BO113" t="s">
        <v>1776</v>
      </c>
      <c r="BP113" t="s">
        <v>74</v>
      </c>
      <c r="BQ113" t="s">
        <v>74</v>
      </c>
      <c r="BR113" t="s">
        <v>97</v>
      </c>
      <c r="BS113" t="s">
        <v>1975</v>
      </c>
      <c r="BT113" t="str">
        <f>HYPERLINK("https%3A%2F%2Fwww.webofscience.com%2Fwos%2Fwoscc%2Ffull-record%2FWOS:000230580500016","View Full Record in Web of Science")</f>
        <v>View Full Record in Web of Science</v>
      </c>
    </row>
    <row r="114" spans="1:72" x14ac:dyDescent="0.15">
      <c r="A114" t="s">
        <v>72</v>
      </c>
      <c r="B114" t="s">
        <v>1976</v>
      </c>
      <c r="C114" t="s">
        <v>74</v>
      </c>
      <c r="D114" t="s">
        <v>74</v>
      </c>
      <c r="E114" t="s">
        <v>74</v>
      </c>
      <c r="F114" t="s">
        <v>1976</v>
      </c>
      <c r="G114" t="s">
        <v>74</v>
      </c>
      <c r="H114" t="s">
        <v>74</v>
      </c>
      <c r="I114" t="s">
        <v>1977</v>
      </c>
      <c r="J114" t="s">
        <v>1978</v>
      </c>
      <c r="K114" t="s">
        <v>74</v>
      </c>
      <c r="L114" t="s">
        <v>74</v>
      </c>
      <c r="M114" t="s">
        <v>77</v>
      </c>
      <c r="N114" t="s">
        <v>78</v>
      </c>
      <c r="O114" t="s">
        <v>74</v>
      </c>
      <c r="P114" t="s">
        <v>74</v>
      </c>
      <c r="Q114" t="s">
        <v>74</v>
      </c>
      <c r="R114" t="s">
        <v>74</v>
      </c>
      <c r="S114" t="s">
        <v>74</v>
      </c>
      <c r="T114" t="s">
        <v>74</v>
      </c>
      <c r="U114" t="s">
        <v>1979</v>
      </c>
      <c r="V114" t="s">
        <v>1980</v>
      </c>
      <c r="W114" t="s">
        <v>1981</v>
      </c>
      <c r="X114" t="s">
        <v>1982</v>
      </c>
      <c r="Y114" t="s">
        <v>1983</v>
      </c>
      <c r="Z114" t="s">
        <v>1984</v>
      </c>
      <c r="AA114" t="s">
        <v>74</v>
      </c>
      <c r="AB114" t="s">
        <v>1985</v>
      </c>
      <c r="AC114" t="s">
        <v>74</v>
      </c>
      <c r="AD114" t="s">
        <v>74</v>
      </c>
      <c r="AE114" t="s">
        <v>74</v>
      </c>
      <c r="AF114" t="s">
        <v>74</v>
      </c>
      <c r="AG114">
        <v>42</v>
      </c>
      <c r="AH114">
        <v>33</v>
      </c>
      <c r="AI114">
        <v>38</v>
      </c>
      <c r="AJ114">
        <v>0</v>
      </c>
      <c r="AK114">
        <v>16</v>
      </c>
      <c r="AL114" t="s">
        <v>1986</v>
      </c>
      <c r="AM114" t="s">
        <v>1987</v>
      </c>
      <c r="AN114" t="s">
        <v>1988</v>
      </c>
      <c r="AO114" t="s">
        <v>1989</v>
      </c>
      <c r="AP114" t="s">
        <v>1990</v>
      </c>
      <c r="AQ114" t="s">
        <v>74</v>
      </c>
      <c r="AR114" t="s">
        <v>1991</v>
      </c>
      <c r="AS114" t="s">
        <v>1992</v>
      </c>
      <c r="AT114" t="s">
        <v>1072</v>
      </c>
      <c r="AU114">
        <v>2005</v>
      </c>
      <c r="AV114">
        <v>117</v>
      </c>
      <c r="AW114">
        <v>6</v>
      </c>
      <c r="AX114" t="s">
        <v>74</v>
      </c>
      <c r="AY114" t="s">
        <v>74</v>
      </c>
      <c r="AZ114" t="s">
        <v>74</v>
      </c>
      <c r="BA114" t="s">
        <v>74</v>
      </c>
      <c r="BB114">
        <v>3574</v>
      </c>
      <c r="BC114">
        <v>3588</v>
      </c>
      <c r="BD114" t="s">
        <v>74</v>
      </c>
      <c r="BE114" t="s">
        <v>1993</v>
      </c>
      <c r="BF114" t="str">
        <f>HYPERLINK("http://dx.doi.org/10.1121/1.1920087","http://dx.doi.org/10.1121/1.1920087")</f>
        <v>http://dx.doi.org/10.1121/1.1920087</v>
      </c>
      <c r="BG114" t="s">
        <v>74</v>
      </c>
      <c r="BH114" t="s">
        <v>74</v>
      </c>
      <c r="BI114">
        <v>15</v>
      </c>
      <c r="BJ114" t="s">
        <v>1994</v>
      </c>
      <c r="BK114" t="s">
        <v>95</v>
      </c>
      <c r="BL114" t="s">
        <v>1994</v>
      </c>
      <c r="BM114" t="s">
        <v>1995</v>
      </c>
      <c r="BN114">
        <v>16018461</v>
      </c>
      <c r="BO114" t="s">
        <v>74</v>
      </c>
      <c r="BP114" t="s">
        <v>74</v>
      </c>
      <c r="BQ114" t="s">
        <v>74</v>
      </c>
      <c r="BR114" t="s">
        <v>97</v>
      </c>
      <c r="BS114" t="s">
        <v>1996</v>
      </c>
      <c r="BT114" t="str">
        <f>HYPERLINK("https%3A%2F%2Fwww.webofscience.com%2Fwos%2Fwoscc%2Ffull-record%2FWOS:000229718500028","View Full Record in Web of Science")</f>
        <v>View Full Record in Web of Science</v>
      </c>
    </row>
    <row r="115" spans="1:72" x14ac:dyDescent="0.15">
      <c r="A115" t="s">
        <v>72</v>
      </c>
      <c r="B115" t="s">
        <v>1997</v>
      </c>
      <c r="C115" t="s">
        <v>74</v>
      </c>
      <c r="D115" t="s">
        <v>74</v>
      </c>
      <c r="E115" t="s">
        <v>74</v>
      </c>
      <c r="F115" t="s">
        <v>1997</v>
      </c>
      <c r="G115" t="s">
        <v>74</v>
      </c>
      <c r="H115" t="s">
        <v>74</v>
      </c>
      <c r="I115" t="s">
        <v>1998</v>
      </c>
      <c r="J115" t="s">
        <v>1999</v>
      </c>
      <c r="K115" t="s">
        <v>74</v>
      </c>
      <c r="L115" t="s">
        <v>74</v>
      </c>
      <c r="M115" t="s">
        <v>77</v>
      </c>
      <c r="N115" t="s">
        <v>78</v>
      </c>
      <c r="O115" t="s">
        <v>74</v>
      </c>
      <c r="P115" t="s">
        <v>74</v>
      </c>
      <c r="Q115" t="s">
        <v>74</v>
      </c>
      <c r="R115" t="s">
        <v>74</v>
      </c>
      <c r="S115" t="s">
        <v>74</v>
      </c>
      <c r="T115" t="s">
        <v>74</v>
      </c>
      <c r="U115" t="s">
        <v>2000</v>
      </c>
      <c r="V115" t="s">
        <v>2001</v>
      </c>
      <c r="W115" t="s">
        <v>2002</v>
      </c>
      <c r="X115" t="s">
        <v>2003</v>
      </c>
      <c r="Y115" t="s">
        <v>2004</v>
      </c>
      <c r="Z115" t="s">
        <v>2005</v>
      </c>
      <c r="AA115" t="s">
        <v>74</v>
      </c>
      <c r="AB115" t="s">
        <v>2006</v>
      </c>
      <c r="AC115" t="s">
        <v>74</v>
      </c>
      <c r="AD115" t="s">
        <v>74</v>
      </c>
      <c r="AE115" t="s">
        <v>74</v>
      </c>
      <c r="AF115" t="s">
        <v>74</v>
      </c>
      <c r="AG115">
        <v>58</v>
      </c>
      <c r="AH115">
        <v>51</v>
      </c>
      <c r="AI115">
        <v>56</v>
      </c>
      <c r="AJ115">
        <v>0</v>
      </c>
      <c r="AK115">
        <v>20</v>
      </c>
      <c r="AL115" t="s">
        <v>133</v>
      </c>
      <c r="AM115" t="s">
        <v>134</v>
      </c>
      <c r="AN115" t="s">
        <v>135</v>
      </c>
      <c r="AO115" t="s">
        <v>2007</v>
      </c>
      <c r="AP115" t="s">
        <v>74</v>
      </c>
      <c r="AQ115" t="s">
        <v>74</v>
      </c>
      <c r="AR115" t="s">
        <v>2008</v>
      </c>
      <c r="AS115" t="s">
        <v>2009</v>
      </c>
      <c r="AT115" t="s">
        <v>1072</v>
      </c>
      <c r="AU115">
        <v>2005</v>
      </c>
      <c r="AV115">
        <v>147</v>
      </c>
      <c r="AW115">
        <v>2</v>
      </c>
      <c r="AX115" t="s">
        <v>74</v>
      </c>
      <c r="AY115" t="s">
        <v>74</v>
      </c>
      <c r="AZ115" t="s">
        <v>74</v>
      </c>
      <c r="BA115" t="s">
        <v>74</v>
      </c>
      <c r="BB115">
        <v>281</v>
      </c>
      <c r="BC115">
        <v>290</v>
      </c>
      <c r="BD115" t="s">
        <v>74</v>
      </c>
      <c r="BE115" t="s">
        <v>2010</v>
      </c>
      <c r="BF115" t="str">
        <f>HYPERLINK("http://dx.doi.org/10.1007/s00227-005-1577-x","http://dx.doi.org/10.1007/s00227-005-1577-x")</f>
        <v>http://dx.doi.org/10.1007/s00227-005-1577-x</v>
      </c>
      <c r="BG115" t="s">
        <v>74</v>
      </c>
      <c r="BH115" t="s">
        <v>74</v>
      </c>
      <c r="BI115">
        <v>10</v>
      </c>
      <c r="BJ115" t="s">
        <v>2011</v>
      </c>
      <c r="BK115" t="s">
        <v>95</v>
      </c>
      <c r="BL115" t="s">
        <v>2011</v>
      </c>
      <c r="BM115" t="s">
        <v>2012</v>
      </c>
      <c r="BN115" t="s">
        <v>74</v>
      </c>
      <c r="BO115" t="s">
        <v>74</v>
      </c>
      <c r="BP115" t="s">
        <v>74</v>
      </c>
      <c r="BQ115" t="s">
        <v>74</v>
      </c>
      <c r="BR115" t="s">
        <v>97</v>
      </c>
      <c r="BS115" t="s">
        <v>2013</v>
      </c>
      <c r="BT115" t="str">
        <f>HYPERLINK("https%3A%2F%2Fwww.webofscience.com%2Fwos%2Fwoscc%2Ffull-record%2FWOS:000229626500001","View Full Record in Web of Science")</f>
        <v>View Full Record in Web of Science</v>
      </c>
    </row>
    <row r="116" spans="1:72" x14ac:dyDescent="0.15">
      <c r="A116" t="s">
        <v>72</v>
      </c>
      <c r="B116" t="s">
        <v>2014</v>
      </c>
      <c r="C116" t="s">
        <v>74</v>
      </c>
      <c r="D116" t="s">
        <v>74</v>
      </c>
      <c r="E116" t="s">
        <v>74</v>
      </c>
      <c r="F116" t="s">
        <v>2014</v>
      </c>
      <c r="G116" t="s">
        <v>74</v>
      </c>
      <c r="H116" t="s">
        <v>74</v>
      </c>
      <c r="I116" t="s">
        <v>2015</v>
      </c>
      <c r="J116" t="s">
        <v>1999</v>
      </c>
      <c r="K116" t="s">
        <v>74</v>
      </c>
      <c r="L116" t="s">
        <v>74</v>
      </c>
      <c r="M116" t="s">
        <v>77</v>
      </c>
      <c r="N116" t="s">
        <v>78</v>
      </c>
      <c r="O116" t="s">
        <v>74</v>
      </c>
      <c r="P116" t="s">
        <v>74</v>
      </c>
      <c r="Q116" t="s">
        <v>74</v>
      </c>
      <c r="R116" t="s">
        <v>74</v>
      </c>
      <c r="S116" t="s">
        <v>74</v>
      </c>
      <c r="T116" t="s">
        <v>74</v>
      </c>
      <c r="U116" t="s">
        <v>2016</v>
      </c>
      <c r="V116" t="s">
        <v>2017</v>
      </c>
      <c r="W116" t="s">
        <v>2018</v>
      </c>
      <c r="X116" t="s">
        <v>671</v>
      </c>
      <c r="Y116" t="s">
        <v>2019</v>
      </c>
      <c r="Z116" t="s">
        <v>2020</v>
      </c>
      <c r="AA116" t="s">
        <v>74</v>
      </c>
      <c r="AB116" t="s">
        <v>74</v>
      </c>
      <c r="AC116" t="s">
        <v>74</v>
      </c>
      <c r="AD116" t="s">
        <v>74</v>
      </c>
      <c r="AE116" t="s">
        <v>74</v>
      </c>
      <c r="AF116" t="s">
        <v>74</v>
      </c>
      <c r="AG116">
        <v>39</v>
      </c>
      <c r="AH116">
        <v>37</v>
      </c>
      <c r="AI116">
        <v>42</v>
      </c>
      <c r="AJ116">
        <v>0</v>
      </c>
      <c r="AK116">
        <v>11</v>
      </c>
      <c r="AL116" t="s">
        <v>1789</v>
      </c>
      <c r="AM116" t="s">
        <v>1790</v>
      </c>
      <c r="AN116" t="s">
        <v>1791</v>
      </c>
      <c r="AO116" t="s">
        <v>2007</v>
      </c>
      <c r="AP116" t="s">
        <v>2021</v>
      </c>
      <c r="AQ116" t="s">
        <v>74</v>
      </c>
      <c r="AR116" t="s">
        <v>2008</v>
      </c>
      <c r="AS116" t="s">
        <v>2009</v>
      </c>
      <c r="AT116" t="s">
        <v>1072</v>
      </c>
      <c r="AU116">
        <v>2005</v>
      </c>
      <c r="AV116">
        <v>147</v>
      </c>
      <c r="AW116">
        <v>2</v>
      </c>
      <c r="AX116" t="s">
        <v>74</v>
      </c>
      <c r="AY116" t="s">
        <v>74</v>
      </c>
      <c r="AZ116" t="s">
        <v>74</v>
      </c>
      <c r="BA116" t="s">
        <v>74</v>
      </c>
      <c r="BB116">
        <v>453</v>
      </c>
      <c r="BC116">
        <v>463</v>
      </c>
      <c r="BD116" t="s">
        <v>74</v>
      </c>
      <c r="BE116" t="s">
        <v>2022</v>
      </c>
      <c r="BF116" t="str">
        <f>HYPERLINK("http://dx.doi.org/10.1007/s00227-005-1591-z","http://dx.doi.org/10.1007/s00227-005-1591-z")</f>
        <v>http://dx.doi.org/10.1007/s00227-005-1591-z</v>
      </c>
      <c r="BG116" t="s">
        <v>74</v>
      </c>
      <c r="BH116" t="s">
        <v>74</v>
      </c>
      <c r="BI116">
        <v>11</v>
      </c>
      <c r="BJ116" t="s">
        <v>2011</v>
      </c>
      <c r="BK116" t="s">
        <v>95</v>
      </c>
      <c r="BL116" t="s">
        <v>2011</v>
      </c>
      <c r="BM116" t="s">
        <v>2012</v>
      </c>
      <c r="BN116" t="s">
        <v>74</v>
      </c>
      <c r="BO116" t="s">
        <v>74</v>
      </c>
      <c r="BP116" t="s">
        <v>74</v>
      </c>
      <c r="BQ116" t="s">
        <v>74</v>
      </c>
      <c r="BR116" t="s">
        <v>97</v>
      </c>
      <c r="BS116" t="s">
        <v>2023</v>
      </c>
      <c r="BT116" t="str">
        <f>HYPERLINK("https%3A%2F%2Fwww.webofscience.com%2Fwos%2Fwoscc%2Ffull-record%2FWOS:000229626500018","View Full Record in Web of Science")</f>
        <v>View Full Record in Web of Science</v>
      </c>
    </row>
    <row r="117" spans="1:72" x14ac:dyDescent="0.15">
      <c r="A117" t="s">
        <v>72</v>
      </c>
      <c r="B117" t="s">
        <v>2024</v>
      </c>
      <c r="C117" t="s">
        <v>74</v>
      </c>
      <c r="D117" t="s">
        <v>74</v>
      </c>
      <c r="E117" t="s">
        <v>74</v>
      </c>
      <c r="F117" t="s">
        <v>2024</v>
      </c>
      <c r="G117" t="s">
        <v>74</v>
      </c>
      <c r="H117" t="s">
        <v>74</v>
      </c>
      <c r="I117" t="s">
        <v>2025</v>
      </c>
      <c r="J117" t="s">
        <v>1999</v>
      </c>
      <c r="K117" t="s">
        <v>74</v>
      </c>
      <c r="L117" t="s">
        <v>74</v>
      </c>
      <c r="M117" t="s">
        <v>77</v>
      </c>
      <c r="N117" t="s">
        <v>78</v>
      </c>
      <c r="O117" t="s">
        <v>74</v>
      </c>
      <c r="P117" t="s">
        <v>74</v>
      </c>
      <c r="Q117" t="s">
        <v>74</v>
      </c>
      <c r="R117" t="s">
        <v>74</v>
      </c>
      <c r="S117" t="s">
        <v>74</v>
      </c>
      <c r="T117" t="s">
        <v>74</v>
      </c>
      <c r="U117" t="s">
        <v>2026</v>
      </c>
      <c r="V117" t="s">
        <v>2027</v>
      </c>
      <c r="W117" t="s">
        <v>2028</v>
      </c>
      <c r="X117" t="s">
        <v>2029</v>
      </c>
      <c r="Y117" t="s">
        <v>2030</v>
      </c>
      <c r="Z117" t="s">
        <v>2031</v>
      </c>
      <c r="AA117" t="s">
        <v>74</v>
      </c>
      <c r="AB117" t="s">
        <v>2032</v>
      </c>
      <c r="AC117" t="s">
        <v>74</v>
      </c>
      <c r="AD117" t="s">
        <v>74</v>
      </c>
      <c r="AE117" t="s">
        <v>74</v>
      </c>
      <c r="AF117" t="s">
        <v>74</v>
      </c>
      <c r="AG117">
        <v>39</v>
      </c>
      <c r="AH117">
        <v>11</v>
      </c>
      <c r="AI117">
        <v>11</v>
      </c>
      <c r="AJ117">
        <v>0</v>
      </c>
      <c r="AK117">
        <v>6</v>
      </c>
      <c r="AL117" t="s">
        <v>133</v>
      </c>
      <c r="AM117" t="s">
        <v>134</v>
      </c>
      <c r="AN117" t="s">
        <v>135</v>
      </c>
      <c r="AO117" t="s">
        <v>2007</v>
      </c>
      <c r="AP117" t="s">
        <v>74</v>
      </c>
      <c r="AQ117" t="s">
        <v>74</v>
      </c>
      <c r="AR117" t="s">
        <v>2008</v>
      </c>
      <c r="AS117" t="s">
        <v>2009</v>
      </c>
      <c r="AT117" t="s">
        <v>1072</v>
      </c>
      <c r="AU117">
        <v>2005</v>
      </c>
      <c r="AV117">
        <v>147</v>
      </c>
      <c r="AW117">
        <v>2</v>
      </c>
      <c r="AX117" t="s">
        <v>74</v>
      </c>
      <c r="AY117" t="s">
        <v>74</v>
      </c>
      <c r="AZ117" t="s">
        <v>74</v>
      </c>
      <c r="BA117" t="s">
        <v>74</v>
      </c>
      <c r="BB117">
        <v>509</v>
      </c>
      <c r="BC117">
        <v>515</v>
      </c>
      <c r="BD117" t="s">
        <v>74</v>
      </c>
      <c r="BE117" t="s">
        <v>2033</v>
      </c>
      <c r="BF117" t="str">
        <f>HYPERLINK("http://dx.doi.org/10.1007/s00227-005-1563-3","http://dx.doi.org/10.1007/s00227-005-1563-3")</f>
        <v>http://dx.doi.org/10.1007/s00227-005-1563-3</v>
      </c>
      <c r="BG117" t="s">
        <v>74</v>
      </c>
      <c r="BH117" t="s">
        <v>74</v>
      </c>
      <c r="BI117">
        <v>7</v>
      </c>
      <c r="BJ117" t="s">
        <v>2011</v>
      </c>
      <c r="BK117" t="s">
        <v>95</v>
      </c>
      <c r="BL117" t="s">
        <v>2011</v>
      </c>
      <c r="BM117" t="s">
        <v>2012</v>
      </c>
      <c r="BN117" t="s">
        <v>74</v>
      </c>
      <c r="BO117" t="s">
        <v>74</v>
      </c>
      <c r="BP117" t="s">
        <v>74</v>
      </c>
      <c r="BQ117" t="s">
        <v>74</v>
      </c>
      <c r="BR117" t="s">
        <v>97</v>
      </c>
      <c r="BS117" t="s">
        <v>2034</v>
      </c>
      <c r="BT117" t="str">
        <f>HYPERLINK("https%3A%2F%2Fwww.webofscience.com%2Fwos%2Fwoscc%2Ffull-record%2FWOS:000229626500023","View Full Record in Web of Science")</f>
        <v>View Full Record in Web of Science</v>
      </c>
    </row>
    <row r="118" spans="1:72" x14ac:dyDescent="0.15">
      <c r="A118" t="s">
        <v>72</v>
      </c>
      <c r="B118" t="s">
        <v>2035</v>
      </c>
      <c r="C118" t="s">
        <v>74</v>
      </c>
      <c r="D118" t="s">
        <v>74</v>
      </c>
      <c r="E118" t="s">
        <v>74</v>
      </c>
      <c r="F118" t="s">
        <v>2035</v>
      </c>
      <c r="G118" t="s">
        <v>74</v>
      </c>
      <c r="H118" t="s">
        <v>74</v>
      </c>
      <c r="I118" t="s">
        <v>2036</v>
      </c>
      <c r="J118" t="s">
        <v>2037</v>
      </c>
      <c r="K118" t="s">
        <v>74</v>
      </c>
      <c r="L118" t="s">
        <v>74</v>
      </c>
      <c r="M118" t="s">
        <v>77</v>
      </c>
      <c r="N118" t="s">
        <v>78</v>
      </c>
      <c r="O118" t="s">
        <v>74</v>
      </c>
      <c r="P118" t="s">
        <v>74</v>
      </c>
      <c r="Q118" t="s">
        <v>74</v>
      </c>
      <c r="R118" t="s">
        <v>74</v>
      </c>
      <c r="S118" t="s">
        <v>74</v>
      </c>
      <c r="T118" t="s">
        <v>74</v>
      </c>
      <c r="U118" t="s">
        <v>2038</v>
      </c>
      <c r="V118" t="s">
        <v>2039</v>
      </c>
      <c r="W118" t="s">
        <v>2040</v>
      </c>
      <c r="X118" t="s">
        <v>2041</v>
      </c>
      <c r="Y118" t="s">
        <v>2042</v>
      </c>
      <c r="Z118" t="s">
        <v>74</v>
      </c>
      <c r="AA118" t="s">
        <v>74</v>
      </c>
      <c r="AB118" t="s">
        <v>74</v>
      </c>
      <c r="AC118" t="s">
        <v>74</v>
      </c>
      <c r="AD118" t="s">
        <v>74</v>
      </c>
      <c r="AE118" t="s">
        <v>74</v>
      </c>
      <c r="AF118" t="s">
        <v>74</v>
      </c>
      <c r="AG118">
        <v>79</v>
      </c>
      <c r="AH118">
        <v>232</v>
      </c>
      <c r="AI118">
        <v>251</v>
      </c>
      <c r="AJ118">
        <v>0</v>
      </c>
      <c r="AK118">
        <v>27</v>
      </c>
      <c r="AL118" t="s">
        <v>2043</v>
      </c>
      <c r="AM118" t="s">
        <v>2044</v>
      </c>
      <c r="AN118" t="s">
        <v>2045</v>
      </c>
      <c r="AO118" t="s">
        <v>2046</v>
      </c>
      <c r="AP118" t="s">
        <v>74</v>
      </c>
      <c r="AQ118" t="s">
        <v>74</v>
      </c>
      <c r="AR118" t="s">
        <v>2047</v>
      </c>
      <c r="AS118" t="s">
        <v>2048</v>
      </c>
      <c r="AT118" t="s">
        <v>1383</v>
      </c>
      <c r="AU118">
        <v>2005</v>
      </c>
      <c r="AV118">
        <v>39</v>
      </c>
      <c r="AW118">
        <v>2</v>
      </c>
      <c r="AX118" t="s">
        <v>74</v>
      </c>
      <c r="AY118" t="s">
        <v>74</v>
      </c>
      <c r="AZ118" t="s">
        <v>74</v>
      </c>
      <c r="BA118" t="s">
        <v>74</v>
      </c>
      <c r="BB118">
        <v>10</v>
      </c>
      <c r="BC118">
        <v>21</v>
      </c>
      <c r="BD118" t="s">
        <v>74</v>
      </c>
      <c r="BE118" t="s">
        <v>2049</v>
      </c>
      <c r="BF118" t="str">
        <f>HYPERLINK("http://dx.doi.org/10.4031/002533205787444015","http://dx.doi.org/10.4031/002533205787444015")</f>
        <v>http://dx.doi.org/10.4031/002533205787444015</v>
      </c>
      <c r="BG118" t="s">
        <v>74</v>
      </c>
      <c r="BH118" t="s">
        <v>74</v>
      </c>
      <c r="BI118">
        <v>12</v>
      </c>
      <c r="BJ118" t="s">
        <v>2050</v>
      </c>
      <c r="BK118" t="s">
        <v>95</v>
      </c>
      <c r="BL118" t="s">
        <v>2051</v>
      </c>
      <c r="BM118" t="s">
        <v>2052</v>
      </c>
      <c r="BN118" t="s">
        <v>74</v>
      </c>
      <c r="BO118" t="s">
        <v>1776</v>
      </c>
      <c r="BP118" t="s">
        <v>74</v>
      </c>
      <c r="BQ118" t="s">
        <v>74</v>
      </c>
      <c r="BR118" t="s">
        <v>97</v>
      </c>
      <c r="BS118" t="s">
        <v>2053</v>
      </c>
      <c r="BT118" t="str">
        <f>HYPERLINK("https%3A%2F%2Fwww.webofscience.com%2Fwos%2Fwoscc%2Ffull-record%2FWOS:000231035300002","View Full Record in Web of Science")</f>
        <v>View Full Record in Web of Science</v>
      </c>
    </row>
    <row r="119" spans="1:72" x14ac:dyDescent="0.15">
      <c r="A119" t="s">
        <v>72</v>
      </c>
      <c r="B119" t="s">
        <v>2054</v>
      </c>
      <c r="C119" t="s">
        <v>74</v>
      </c>
      <c r="D119" t="s">
        <v>74</v>
      </c>
      <c r="E119" t="s">
        <v>74</v>
      </c>
      <c r="F119" t="s">
        <v>2054</v>
      </c>
      <c r="G119" t="s">
        <v>74</v>
      </c>
      <c r="H119" t="s">
        <v>74</v>
      </c>
      <c r="I119" t="s">
        <v>2055</v>
      </c>
      <c r="J119" t="s">
        <v>2056</v>
      </c>
      <c r="K119" t="s">
        <v>74</v>
      </c>
      <c r="L119" t="s">
        <v>74</v>
      </c>
      <c r="M119" t="s">
        <v>77</v>
      </c>
      <c r="N119" t="s">
        <v>78</v>
      </c>
      <c r="O119" t="s">
        <v>74</v>
      </c>
      <c r="P119" t="s">
        <v>74</v>
      </c>
      <c r="Q119" t="s">
        <v>74</v>
      </c>
      <c r="R119" t="s">
        <v>74</v>
      </c>
      <c r="S119" t="s">
        <v>74</v>
      </c>
      <c r="T119" t="s">
        <v>74</v>
      </c>
      <c r="U119" t="s">
        <v>2057</v>
      </c>
      <c r="V119" t="s">
        <v>2058</v>
      </c>
      <c r="W119" t="s">
        <v>2059</v>
      </c>
      <c r="X119" t="s">
        <v>2060</v>
      </c>
      <c r="Y119" t="s">
        <v>2061</v>
      </c>
      <c r="Z119" t="s">
        <v>2062</v>
      </c>
      <c r="AA119" t="s">
        <v>74</v>
      </c>
      <c r="AB119" t="s">
        <v>74</v>
      </c>
      <c r="AC119" t="s">
        <v>74</v>
      </c>
      <c r="AD119" t="s">
        <v>74</v>
      </c>
      <c r="AE119" t="s">
        <v>74</v>
      </c>
      <c r="AF119" t="s">
        <v>74</v>
      </c>
      <c r="AG119">
        <v>98</v>
      </c>
      <c r="AH119">
        <v>23</v>
      </c>
      <c r="AI119">
        <v>24</v>
      </c>
      <c r="AJ119">
        <v>0</v>
      </c>
      <c r="AK119">
        <v>15</v>
      </c>
      <c r="AL119" t="s">
        <v>472</v>
      </c>
      <c r="AM119" t="s">
        <v>473</v>
      </c>
      <c r="AN119" t="s">
        <v>474</v>
      </c>
      <c r="AO119" t="s">
        <v>2063</v>
      </c>
      <c r="AP119" t="s">
        <v>2064</v>
      </c>
      <c r="AQ119" t="s">
        <v>74</v>
      </c>
      <c r="AR119" t="s">
        <v>2065</v>
      </c>
      <c r="AS119" t="s">
        <v>2066</v>
      </c>
      <c r="AT119" t="s">
        <v>1072</v>
      </c>
      <c r="AU119">
        <v>2005</v>
      </c>
      <c r="AV119">
        <v>40</v>
      </c>
      <c r="AW119">
        <v>6</v>
      </c>
      <c r="AX119" t="s">
        <v>74</v>
      </c>
      <c r="AY119" t="s">
        <v>74</v>
      </c>
      <c r="AZ119" t="s">
        <v>74</v>
      </c>
      <c r="BA119" t="s">
        <v>74</v>
      </c>
      <c r="BB119">
        <v>881</v>
      </c>
      <c r="BC119">
        <v>894</v>
      </c>
      <c r="BD119" t="s">
        <v>74</v>
      </c>
      <c r="BE119" t="s">
        <v>2067</v>
      </c>
      <c r="BF119" t="str">
        <f>HYPERLINK("http://dx.doi.org/10.1111/j.1945-5100.2005.tb00161.x","http://dx.doi.org/10.1111/j.1945-5100.2005.tb00161.x")</f>
        <v>http://dx.doi.org/10.1111/j.1945-5100.2005.tb00161.x</v>
      </c>
      <c r="BG119" t="s">
        <v>74</v>
      </c>
      <c r="BH119" t="s">
        <v>74</v>
      </c>
      <c r="BI119">
        <v>14</v>
      </c>
      <c r="BJ119" t="s">
        <v>381</v>
      </c>
      <c r="BK119" t="s">
        <v>95</v>
      </c>
      <c r="BL119" t="s">
        <v>381</v>
      </c>
      <c r="BM119" t="s">
        <v>2068</v>
      </c>
      <c r="BN119" t="s">
        <v>74</v>
      </c>
      <c r="BO119" t="s">
        <v>539</v>
      </c>
      <c r="BP119" t="s">
        <v>74</v>
      </c>
      <c r="BQ119" t="s">
        <v>74</v>
      </c>
      <c r="BR119" t="s">
        <v>97</v>
      </c>
      <c r="BS119" t="s">
        <v>2069</v>
      </c>
      <c r="BT119" t="str">
        <f>HYPERLINK("https%3A%2F%2Fwww.webofscience.com%2Fwos%2Fwoscc%2Ffull-record%2FWOS:000231812900007","View Full Record in Web of Science")</f>
        <v>View Full Record in Web of Science</v>
      </c>
    </row>
    <row r="120" spans="1:72" x14ac:dyDescent="0.15">
      <c r="A120" t="s">
        <v>72</v>
      </c>
      <c r="B120" t="s">
        <v>2070</v>
      </c>
      <c r="C120" t="s">
        <v>74</v>
      </c>
      <c r="D120" t="s">
        <v>74</v>
      </c>
      <c r="E120" t="s">
        <v>74</v>
      </c>
      <c r="F120" t="s">
        <v>2070</v>
      </c>
      <c r="G120" t="s">
        <v>74</v>
      </c>
      <c r="H120" t="s">
        <v>74</v>
      </c>
      <c r="I120" t="s">
        <v>2071</v>
      </c>
      <c r="J120" t="s">
        <v>2056</v>
      </c>
      <c r="K120" t="s">
        <v>74</v>
      </c>
      <c r="L120" t="s">
        <v>74</v>
      </c>
      <c r="M120" t="s">
        <v>77</v>
      </c>
      <c r="N120" t="s">
        <v>78</v>
      </c>
      <c r="O120" t="s">
        <v>74</v>
      </c>
      <c r="P120" t="s">
        <v>74</v>
      </c>
      <c r="Q120" t="s">
        <v>74</v>
      </c>
      <c r="R120" t="s">
        <v>74</v>
      </c>
      <c r="S120" t="s">
        <v>74</v>
      </c>
      <c r="T120" t="s">
        <v>74</v>
      </c>
      <c r="U120" t="s">
        <v>2072</v>
      </c>
      <c r="V120" t="s">
        <v>2073</v>
      </c>
      <c r="W120" t="s">
        <v>2074</v>
      </c>
      <c r="X120" t="s">
        <v>2075</v>
      </c>
      <c r="Y120" t="s">
        <v>2076</v>
      </c>
      <c r="Z120" t="s">
        <v>2077</v>
      </c>
      <c r="AA120" t="s">
        <v>2078</v>
      </c>
      <c r="AB120" t="s">
        <v>2079</v>
      </c>
      <c r="AC120" t="s">
        <v>74</v>
      </c>
      <c r="AD120" t="s">
        <v>74</v>
      </c>
      <c r="AE120" t="s">
        <v>74</v>
      </c>
      <c r="AF120" t="s">
        <v>74</v>
      </c>
      <c r="AG120">
        <v>64</v>
      </c>
      <c r="AH120">
        <v>45</v>
      </c>
      <c r="AI120">
        <v>46</v>
      </c>
      <c r="AJ120">
        <v>0</v>
      </c>
      <c r="AK120">
        <v>8</v>
      </c>
      <c r="AL120" t="s">
        <v>472</v>
      </c>
      <c r="AM120" t="s">
        <v>473</v>
      </c>
      <c r="AN120" t="s">
        <v>474</v>
      </c>
      <c r="AO120" t="s">
        <v>2063</v>
      </c>
      <c r="AP120" t="s">
        <v>2064</v>
      </c>
      <c r="AQ120" t="s">
        <v>74</v>
      </c>
      <c r="AR120" t="s">
        <v>2065</v>
      </c>
      <c r="AS120" t="s">
        <v>2066</v>
      </c>
      <c r="AT120" t="s">
        <v>1072</v>
      </c>
      <c r="AU120">
        <v>2005</v>
      </c>
      <c r="AV120">
        <v>40</v>
      </c>
      <c r="AW120">
        <v>6</v>
      </c>
      <c r="AX120" t="s">
        <v>74</v>
      </c>
      <c r="AY120" t="s">
        <v>74</v>
      </c>
      <c r="AZ120" t="s">
        <v>74</v>
      </c>
      <c r="BA120" t="s">
        <v>74</v>
      </c>
      <c r="BB120">
        <v>917</v>
      </c>
      <c r="BC120">
        <v>932</v>
      </c>
      <c r="BD120" t="s">
        <v>74</v>
      </c>
      <c r="BE120" t="s">
        <v>2080</v>
      </c>
      <c r="BF120" t="str">
        <f>HYPERLINK("http://dx.doi.org/10.1111/j.1945-5100.2005.tb00163.x","http://dx.doi.org/10.1111/j.1945-5100.2005.tb00163.x")</f>
        <v>http://dx.doi.org/10.1111/j.1945-5100.2005.tb00163.x</v>
      </c>
      <c r="BG120" t="s">
        <v>74</v>
      </c>
      <c r="BH120" t="s">
        <v>74</v>
      </c>
      <c r="BI120">
        <v>16</v>
      </c>
      <c r="BJ120" t="s">
        <v>381</v>
      </c>
      <c r="BK120" t="s">
        <v>95</v>
      </c>
      <c r="BL120" t="s">
        <v>381</v>
      </c>
      <c r="BM120" t="s">
        <v>2068</v>
      </c>
      <c r="BN120" t="s">
        <v>74</v>
      </c>
      <c r="BO120" t="s">
        <v>539</v>
      </c>
      <c r="BP120" t="s">
        <v>74</v>
      </c>
      <c r="BQ120" t="s">
        <v>74</v>
      </c>
      <c r="BR120" t="s">
        <v>97</v>
      </c>
      <c r="BS120" t="s">
        <v>2081</v>
      </c>
      <c r="BT120" t="str">
        <f>HYPERLINK("https%3A%2F%2Fwww.webofscience.com%2Fwos%2Fwoscc%2Ffull-record%2FWOS:000231812900009","View Full Record in Web of Science")</f>
        <v>View Full Record in Web of Science</v>
      </c>
    </row>
    <row r="121" spans="1:72" x14ac:dyDescent="0.15">
      <c r="A121" t="s">
        <v>72</v>
      </c>
      <c r="B121" t="s">
        <v>2082</v>
      </c>
      <c r="C121" t="s">
        <v>74</v>
      </c>
      <c r="D121" t="s">
        <v>74</v>
      </c>
      <c r="E121" t="s">
        <v>74</v>
      </c>
      <c r="F121" t="s">
        <v>2082</v>
      </c>
      <c r="G121" t="s">
        <v>74</v>
      </c>
      <c r="H121" t="s">
        <v>74</v>
      </c>
      <c r="I121" t="s">
        <v>2083</v>
      </c>
      <c r="J121" t="s">
        <v>2084</v>
      </c>
      <c r="K121" t="s">
        <v>74</v>
      </c>
      <c r="L121" t="s">
        <v>74</v>
      </c>
      <c r="M121" t="s">
        <v>77</v>
      </c>
      <c r="N121" t="s">
        <v>78</v>
      </c>
      <c r="O121" t="s">
        <v>74</v>
      </c>
      <c r="P121" t="s">
        <v>74</v>
      </c>
      <c r="Q121" t="s">
        <v>74</v>
      </c>
      <c r="R121" t="s">
        <v>74</v>
      </c>
      <c r="S121" t="s">
        <v>74</v>
      </c>
      <c r="T121" t="s">
        <v>2085</v>
      </c>
      <c r="U121" t="s">
        <v>2086</v>
      </c>
      <c r="V121" t="s">
        <v>2087</v>
      </c>
      <c r="W121" t="s">
        <v>2088</v>
      </c>
      <c r="X121" t="s">
        <v>2089</v>
      </c>
      <c r="Y121" t="s">
        <v>2090</v>
      </c>
      <c r="Z121" t="s">
        <v>2091</v>
      </c>
      <c r="AA121" t="s">
        <v>74</v>
      </c>
      <c r="AB121" t="s">
        <v>2092</v>
      </c>
      <c r="AC121" t="s">
        <v>74</v>
      </c>
      <c r="AD121" t="s">
        <v>74</v>
      </c>
      <c r="AE121" t="s">
        <v>74</v>
      </c>
      <c r="AF121" t="s">
        <v>74</v>
      </c>
      <c r="AG121">
        <v>15</v>
      </c>
      <c r="AH121">
        <v>4</v>
      </c>
      <c r="AI121">
        <v>7</v>
      </c>
      <c r="AJ121">
        <v>0</v>
      </c>
      <c r="AK121">
        <v>2</v>
      </c>
      <c r="AL121" t="s">
        <v>394</v>
      </c>
      <c r="AM121" t="s">
        <v>395</v>
      </c>
      <c r="AN121" t="s">
        <v>396</v>
      </c>
      <c r="AO121" t="s">
        <v>2093</v>
      </c>
      <c r="AP121" t="s">
        <v>2094</v>
      </c>
      <c r="AQ121" t="s">
        <v>74</v>
      </c>
      <c r="AR121" t="s">
        <v>2095</v>
      </c>
      <c r="AS121" t="s">
        <v>2096</v>
      </c>
      <c r="AT121" t="s">
        <v>1072</v>
      </c>
      <c r="AU121">
        <v>2005</v>
      </c>
      <c r="AV121">
        <v>39</v>
      </c>
      <c r="AW121">
        <v>4</v>
      </c>
      <c r="AX121" t="s">
        <v>74</v>
      </c>
      <c r="AY121" t="s">
        <v>74</v>
      </c>
      <c r="AZ121" t="s">
        <v>74</v>
      </c>
      <c r="BA121" t="s">
        <v>74</v>
      </c>
      <c r="BB121">
        <v>941</v>
      </c>
      <c r="BC121">
        <v>949</v>
      </c>
      <c r="BD121" t="s">
        <v>74</v>
      </c>
      <c r="BE121" t="s">
        <v>2097</v>
      </c>
      <c r="BF121" t="str">
        <f>HYPERLINK("http://dx.doi.org/10.1080/00288330.2005.9517364","http://dx.doi.org/10.1080/00288330.2005.9517364")</f>
        <v>http://dx.doi.org/10.1080/00288330.2005.9517364</v>
      </c>
      <c r="BG121" t="s">
        <v>74</v>
      </c>
      <c r="BH121" t="s">
        <v>74</v>
      </c>
      <c r="BI121">
        <v>9</v>
      </c>
      <c r="BJ121" t="s">
        <v>1675</v>
      </c>
      <c r="BK121" t="s">
        <v>95</v>
      </c>
      <c r="BL121" t="s">
        <v>1675</v>
      </c>
      <c r="BM121" t="s">
        <v>2098</v>
      </c>
      <c r="BN121" t="s">
        <v>74</v>
      </c>
      <c r="BO121" t="s">
        <v>539</v>
      </c>
      <c r="BP121" t="s">
        <v>74</v>
      </c>
      <c r="BQ121" t="s">
        <v>74</v>
      </c>
      <c r="BR121" t="s">
        <v>97</v>
      </c>
      <c r="BS121" t="s">
        <v>2099</v>
      </c>
      <c r="BT121" t="str">
        <f>HYPERLINK("https%3A%2F%2Fwww.webofscience.com%2Fwos%2Fwoscc%2Ffull-record%2FWOS:000230698300012","View Full Record in Web of Science")</f>
        <v>View Full Record in Web of Science</v>
      </c>
    </row>
    <row r="122" spans="1:72" x14ac:dyDescent="0.15">
      <c r="A122" t="s">
        <v>72</v>
      </c>
      <c r="B122" t="s">
        <v>2100</v>
      </c>
      <c r="C122" t="s">
        <v>74</v>
      </c>
      <c r="D122" t="s">
        <v>74</v>
      </c>
      <c r="E122" t="s">
        <v>74</v>
      </c>
      <c r="F122" t="s">
        <v>2100</v>
      </c>
      <c r="G122" t="s">
        <v>74</v>
      </c>
      <c r="H122" t="s">
        <v>968</v>
      </c>
      <c r="I122" t="s">
        <v>2101</v>
      </c>
      <c r="J122" t="s">
        <v>2102</v>
      </c>
      <c r="K122" t="s">
        <v>74</v>
      </c>
      <c r="L122" t="s">
        <v>74</v>
      </c>
      <c r="M122" t="s">
        <v>77</v>
      </c>
      <c r="N122" t="s">
        <v>78</v>
      </c>
      <c r="O122" t="s">
        <v>74</v>
      </c>
      <c r="P122" t="s">
        <v>74</v>
      </c>
      <c r="Q122" t="s">
        <v>74</v>
      </c>
      <c r="R122" t="s">
        <v>74</v>
      </c>
      <c r="S122" t="s">
        <v>74</v>
      </c>
      <c r="T122" t="s">
        <v>74</v>
      </c>
      <c r="U122" t="s">
        <v>2103</v>
      </c>
      <c r="V122" t="s">
        <v>2104</v>
      </c>
      <c r="W122" t="s">
        <v>2105</v>
      </c>
      <c r="X122" t="s">
        <v>2106</v>
      </c>
      <c r="Y122" t="s">
        <v>2107</v>
      </c>
      <c r="Z122" t="s">
        <v>74</v>
      </c>
      <c r="AA122" t="s">
        <v>2108</v>
      </c>
      <c r="AB122" t="s">
        <v>2109</v>
      </c>
      <c r="AC122" t="s">
        <v>74</v>
      </c>
      <c r="AD122" t="s">
        <v>74</v>
      </c>
      <c r="AE122" t="s">
        <v>74</v>
      </c>
      <c r="AF122" t="s">
        <v>74</v>
      </c>
      <c r="AG122">
        <v>24</v>
      </c>
      <c r="AH122">
        <v>10</v>
      </c>
      <c r="AI122">
        <v>10</v>
      </c>
      <c r="AJ122">
        <v>0</v>
      </c>
      <c r="AK122">
        <v>1</v>
      </c>
      <c r="AL122" t="s">
        <v>435</v>
      </c>
      <c r="AM122" t="s">
        <v>436</v>
      </c>
      <c r="AN122" t="s">
        <v>437</v>
      </c>
      <c r="AO122" t="s">
        <v>2110</v>
      </c>
      <c r="AP122" t="s">
        <v>2111</v>
      </c>
      <c r="AQ122" t="s">
        <v>74</v>
      </c>
      <c r="AR122" t="s">
        <v>2112</v>
      </c>
      <c r="AS122" t="s">
        <v>2113</v>
      </c>
      <c r="AT122" t="s">
        <v>1072</v>
      </c>
      <c r="AU122">
        <v>2005</v>
      </c>
      <c r="AV122">
        <v>143</v>
      </c>
      <c r="AW122" t="s">
        <v>74</v>
      </c>
      <c r="AX122" t="s">
        <v>74</v>
      </c>
      <c r="AY122" t="s">
        <v>74</v>
      </c>
      <c r="AZ122" t="s">
        <v>74</v>
      </c>
      <c r="BA122" t="s">
        <v>74</v>
      </c>
      <c r="BB122">
        <v>343</v>
      </c>
      <c r="BC122">
        <v>350</v>
      </c>
      <c r="BD122" t="s">
        <v>74</v>
      </c>
      <c r="BE122" t="s">
        <v>2114</v>
      </c>
      <c r="BF122" t="str">
        <f>HYPERLINK("http://dx.doi.org/10.1016/j.nuclphysbps.2005.01.127","http://dx.doi.org/10.1016/j.nuclphysbps.2005.01.127")</f>
        <v>http://dx.doi.org/10.1016/j.nuclphysbps.2005.01.127</v>
      </c>
      <c r="BG122" t="s">
        <v>74</v>
      </c>
      <c r="BH122" t="s">
        <v>74</v>
      </c>
      <c r="BI122">
        <v>8</v>
      </c>
      <c r="BJ122" t="s">
        <v>2115</v>
      </c>
      <c r="BK122" t="s">
        <v>95</v>
      </c>
      <c r="BL122" t="s">
        <v>990</v>
      </c>
      <c r="BM122" t="s">
        <v>2116</v>
      </c>
      <c r="BN122" t="s">
        <v>74</v>
      </c>
      <c r="BO122" t="s">
        <v>143</v>
      </c>
      <c r="BP122" t="s">
        <v>74</v>
      </c>
      <c r="BQ122" t="s">
        <v>74</v>
      </c>
      <c r="BR122" t="s">
        <v>97</v>
      </c>
      <c r="BS122" t="s">
        <v>2117</v>
      </c>
      <c r="BT122" t="str">
        <f>HYPERLINK("https%3A%2F%2Fwww.webofscience.com%2Fwos%2Fwoscc%2Ffull-record%2FWOS:000228672500048","View Full Record in Web of Science")</f>
        <v>View Full Record in Web of Science</v>
      </c>
    </row>
    <row r="123" spans="1:72" x14ac:dyDescent="0.15">
      <c r="A123" t="s">
        <v>72</v>
      </c>
      <c r="B123" t="s">
        <v>2118</v>
      </c>
      <c r="C123" t="s">
        <v>74</v>
      </c>
      <c r="D123" t="s">
        <v>74</v>
      </c>
      <c r="E123" t="s">
        <v>74</v>
      </c>
      <c r="F123" t="s">
        <v>2118</v>
      </c>
      <c r="G123" t="s">
        <v>74</v>
      </c>
      <c r="H123" t="s">
        <v>2119</v>
      </c>
      <c r="I123" t="s">
        <v>2120</v>
      </c>
      <c r="J123" t="s">
        <v>2102</v>
      </c>
      <c r="K123" t="s">
        <v>74</v>
      </c>
      <c r="L123" t="s">
        <v>74</v>
      </c>
      <c r="M123" t="s">
        <v>77</v>
      </c>
      <c r="N123" t="s">
        <v>78</v>
      </c>
      <c r="O123" t="s">
        <v>74</v>
      </c>
      <c r="P123" t="s">
        <v>74</v>
      </c>
      <c r="Q123" t="s">
        <v>74</v>
      </c>
      <c r="R123" t="s">
        <v>74</v>
      </c>
      <c r="S123" t="s">
        <v>74</v>
      </c>
      <c r="T123" t="s">
        <v>74</v>
      </c>
      <c r="U123" t="s">
        <v>74</v>
      </c>
      <c r="V123" t="s">
        <v>2121</v>
      </c>
      <c r="W123" t="s">
        <v>2122</v>
      </c>
      <c r="X123" t="s">
        <v>2123</v>
      </c>
      <c r="Y123" t="s">
        <v>2124</v>
      </c>
      <c r="Z123" t="s">
        <v>74</v>
      </c>
      <c r="AA123" t="s">
        <v>74</v>
      </c>
      <c r="AB123" t="s">
        <v>74</v>
      </c>
      <c r="AC123" t="s">
        <v>74</v>
      </c>
      <c r="AD123" t="s">
        <v>74</v>
      </c>
      <c r="AE123" t="s">
        <v>74</v>
      </c>
      <c r="AF123" t="s">
        <v>74</v>
      </c>
      <c r="AG123">
        <v>2</v>
      </c>
      <c r="AH123">
        <v>0</v>
      </c>
      <c r="AI123">
        <v>0</v>
      </c>
      <c r="AJ123">
        <v>0</v>
      </c>
      <c r="AK123">
        <v>0</v>
      </c>
      <c r="AL123" t="s">
        <v>456</v>
      </c>
      <c r="AM123" t="s">
        <v>436</v>
      </c>
      <c r="AN123" t="s">
        <v>457</v>
      </c>
      <c r="AO123" t="s">
        <v>2110</v>
      </c>
      <c r="AP123" t="s">
        <v>74</v>
      </c>
      <c r="AQ123" t="s">
        <v>74</v>
      </c>
      <c r="AR123" t="s">
        <v>2112</v>
      </c>
      <c r="AS123" t="s">
        <v>2113</v>
      </c>
      <c r="AT123" t="s">
        <v>1072</v>
      </c>
      <c r="AU123">
        <v>2005</v>
      </c>
      <c r="AV123">
        <v>143</v>
      </c>
      <c r="AW123" t="s">
        <v>74</v>
      </c>
      <c r="AX123" t="s">
        <v>74</v>
      </c>
      <c r="AY123" t="s">
        <v>74</v>
      </c>
      <c r="AZ123" t="s">
        <v>74</v>
      </c>
      <c r="BA123" t="s">
        <v>74</v>
      </c>
      <c r="BB123">
        <v>554</v>
      </c>
      <c r="BC123">
        <v>554</v>
      </c>
      <c r="BD123" t="s">
        <v>74</v>
      </c>
      <c r="BE123" t="s">
        <v>2125</v>
      </c>
      <c r="BF123" t="str">
        <f>HYPERLINK("http://dx.doi.org/10.1016/j.nuclphysbps.2005.01.219","http://dx.doi.org/10.1016/j.nuclphysbps.2005.01.219")</f>
        <v>http://dx.doi.org/10.1016/j.nuclphysbps.2005.01.219</v>
      </c>
      <c r="BG123" t="s">
        <v>74</v>
      </c>
      <c r="BH123" t="s">
        <v>74</v>
      </c>
      <c r="BI123">
        <v>1</v>
      </c>
      <c r="BJ123" t="s">
        <v>2115</v>
      </c>
      <c r="BK123" t="s">
        <v>95</v>
      </c>
      <c r="BL123" t="s">
        <v>990</v>
      </c>
      <c r="BM123" t="s">
        <v>2116</v>
      </c>
      <c r="BN123" t="s">
        <v>74</v>
      </c>
      <c r="BO123" t="s">
        <v>74</v>
      </c>
      <c r="BP123" t="s">
        <v>74</v>
      </c>
      <c r="BQ123" t="s">
        <v>74</v>
      </c>
      <c r="BR123" t="s">
        <v>97</v>
      </c>
      <c r="BS123" t="s">
        <v>2126</v>
      </c>
      <c r="BT123" t="str">
        <f>HYPERLINK("https%3A%2F%2Fwww.webofscience.com%2Fwos%2Fwoscc%2Ffull-record%2FWOS:000228672500140","View Full Record in Web of Science")</f>
        <v>View Full Record in Web of Science</v>
      </c>
    </row>
    <row r="124" spans="1:72" x14ac:dyDescent="0.15">
      <c r="A124" t="s">
        <v>72</v>
      </c>
      <c r="B124" t="s">
        <v>2127</v>
      </c>
      <c r="C124" t="s">
        <v>74</v>
      </c>
      <c r="D124" t="s">
        <v>74</v>
      </c>
      <c r="E124" t="s">
        <v>74</v>
      </c>
      <c r="F124" t="s">
        <v>2127</v>
      </c>
      <c r="G124" t="s">
        <v>74</v>
      </c>
      <c r="H124" t="s">
        <v>74</v>
      </c>
      <c r="I124" t="s">
        <v>2128</v>
      </c>
      <c r="J124" t="s">
        <v>2129</v>
      </c>
      <c r="K124" t="s">
        <v>74</v>
      </c>
      <c r="L124" t="s">
        <v>74</v>
      </c>
      <c r="M124" t="s">
        <v>77</v>
      </c>
      <c r="N124" t="s">
        <v>78</v>
      </c>
      <c r="O124" t="s">
        <v>74</v>
      </c>
      <c r="P124" t="s">
        <v>74</v>
      </c>
      <c r="Q124" t="s">
        <v>74</v>
      </c>
      <c r="R124" t="s">
        <v>74</v>
      </c>
      <c r="S124" t="s">
        <v>74</v>
      </c>
      <c r="T124" t="s">
        <v>2130</v>
      </c>
      <c r="U124" t="s">
        <v>2131</v>
      </c>
      <c r="V124" t="s">
        <v>2132</v>
      </c>
      <c r="W124" t="s">
        <v>2133</v>
      </c>
      <c r="X124" t="s">
        <v>2134</v>
      </c>
      <c r="Y124" t="s">
        <v>2135</v>
      </c>
      <c r="Z124" t="s">
        <v>2136</v>
      </c>
      <c r="AA124" t="s">
        <v>2137</v>
      </c>
      <c r="AB124" t="s">
        <v>74</v>
      </c>
      <c r="AC124" t="s">
        <v>74</v>
      </c>
      <c r="AD124" t="s">
        <v>74</v>
      </c>
      <c r="AE124" t="s">
        <v>74</v>
      </c>
      <c r="AF124" t="s">
        <v>74</v>
      </c>
      <c r="AG124">
        <v>46</v>
      </c>
      <c r="AH124">
        <v>25</v>
      </c>
      <c r="AI124">
        <v>26</v>
      </c>
      <c r="AJ124">
        <v>2</v>
      </c>
      <c r="AK124">
        <v>18</v>
      </c>
      <c r="AL124" t="s">
        <v>472</v>
      </c>
      <c r="AM124" t="s">
        <v>473</v>
      </c>
      <c r="AN124" t="s">
        <v>474</v>
      </c>
      <c r="AO124" t="s">
        <v>2138</v>
      </c>
      <c r="AP124" t="s">
        <v>2139</v>
      </c>
      <c r="AQ124" t="s">
        <v>74</v>
      </c>
      <c r="AR124" t="s">
        <v>2140</v>
      </c>
      <c r="AS124" t="s">
        <v>2141</v>
      </c>
      <c r="AT124" t="s">
        <v>1072</v>
      </c>
      <c r="AU124">
        <v>2005</v>
      </c>
      <c r="AV124">
        <v>30</v>
      </c>
      <c r="AW124">
        <v>2</v>
      </c>
      <c r="AX124" t="s">
        <v>74</v>
      </c>
      <c r="AY124" t="s">
        <v>74</v>
      </c>
      <c r="AZ124" t="s">
        <v>74</v>
      </c>
      <c r="BA124" t="s">
        <v>74</v>
      </c>
      <c r="BB124">
        <v>195</v>
      </c>
      <c r="BC124">
        <v>204</v>
      </c>
      <c r="BD124" t="s">
        <v>74</v>
      </c>
      <c r="BE124" t="s">
        <v>2142</v>
      </c>
      <c r="BF124" t="str">
        <f>HYPERLINK("http://dx.doi.org/10.1111/j.1365-3032.2005.00448.x","http://dx.doi.org/10.1111/j.1365-3032.2005.00448.x")</f>
        <v>http://dx.doi.org/10.1111/j.1365-3032.2005.00448.x</v>
      </c>
      <c r="BG124" t="s">
        <v>74</v>
      </c>
      <c r="BH124" t="s">
        <v>74</v>
      </c>
      <c r="BI124">
        <v>10</v>
      </c>
      <c r="BJ124" t="s">
        <v>2143</v>
      </c>
      <c r="BK124" t="s">
        <v>95</v>
      </c>
      <c r="BL124" t="s">
        <v>2143</v>
      </c>
      <c r="BM124" t="s">
        <v>2144</v>
      </c>
      <c r="BN124" t="s">
        <v>74</v>
      </c>
      <c r="BO124" t="s">
        <v>74</v>
      </c>
      <c r="BP124" t="s">
        <v>74</v>
      </c>
      <c r="BQ124" t="s">
        <v>74</v>
      </c>
      <c r="BR124" t="s">
        <v>97</v>
      </c>
      <c r="BS124" t="s">
        <v>2145</v>
      </c>
      <c r="BT124" t="str">
        <f>HYPERLINK("https%3A%2F%2Fwww.webofscience.com%2Fwos%2Fwoscc%2Ffull-record%2FWOS:000229181000010","View Full Record in Web of Science")</f>
        <v>View Full Record in Web of Science</v>
      </c>
    </row>
    <row r="125" spans="1:72" x14ac:dyDescent="0.15">
      <c r="A125" t="s">
        <v>72</v>
      </c>
      <c r="B125" t="s">
        <v>2146</v>
      </c>
      <c r="C125" t="s">
        <v>74</v>
      </c>
      <c r="D125" t="s">
        <v>74</v>
      </c>
      <c r="E125" t="s">
        <v>74</v>
      </c>
      <c r="F125" t="s">
        <v>2146</v>
      </c>
      <c r="G125" t="s">
        <v>74</v>
      </c>
      <c r="H125" t="s">
        <v>74</v>
      </c>
      <c r="I125" t="s">
        <v>2147</v>
      </c>
      <c r="J125" t="s">
        <v>2148</v>
      </c>
      <c r="K125" t="s">
        <v>74</v>
      </c>
      <c r="L125" t="s">
        <v>74</v>
      </c>
      <c r="M125" t="s">
        <v>77</v>
      </c>
      <c r="N125" t="s">
        <v>484</v>
      </c>
      <c r="O125" t="s">
        <v>74</v>
      </c>
      <c r="P125" t="s">
        <v>74</v>
      </c>
      <c r="Q125" t="s">
        <v>74</v>
      </c>
      <c r="R125" t="s">
        <v>74</v>
      </c>
      <c r="S125" t="s">
        <v>74</v>
      </c>
      <c r="T125" t="s">
        <v>74</v>
      </c>
      <c r="U125" t="s">
        <v>74</v>
      </c>
      <c r="V125" t="s">
        <v>74</v>
      </c>
      <c r="W125" t="s">
        <v>74</v>
      </c>
      <c r="X125" t="s">
        <v>74</v>
      </c>
      <c r="Y125" t="s">
        <v>74</v>
      </c>
      <c r="Z125" t="s">
        <v>74</v>
      </c>
      <c r="AA125" t="s">
        <v>74</v>
      </c>
      <c r="AB125" t="s">
        <v>74</v>
      </c>
      <c r="AC125" t="s">
        <v>74</v>
      </c>
      <c r="AD125" t="s">
        <v>74</v>
      </c>
      <c r="AE125" t="s">
        <v>74</v>
      </c>
      <c r="AF125" t="s">
        <v>74</v>
      </c>
      <c r="AG125">
        <v>1</v>
      </c>
      <c r="AH125">
        <v>3</v>
      </c>
      <c r="AI125">
        <v>3</v>
      </c>
      <c r="AJ125">
        <v>0</v>
      </c>
      <c r="AK125">
        <v>9</v>
      </c>
      <c r="AL125" t="s">
        <v>2149</v>
      </c>
      <c r="AM125" t="s">
        <v>2150</v>
      </c>
      <c r="AN125" t="s">
        <v>2151</v>
      </c>
      <c r="AO125" t="s">
        <v>2152</v>
      </c>
      <c r="AP125" t="s">
        <v>74</v>
      </c>
      <c r="AQ125" t="s">
        <v>74</v>
      </c>
      <c r="AR125" t="s">
        <v>2153</v>
      </c>
      <c r="AS125" t="s">
        <v>2154</v>
      </c>
      <c r="AT125" t="s">
        <v>1072</v>
      </c>
      <c r="AU125">
        <v>2005</v>
      </c>
      <c r="AV125">
        <v>3</v>
      </c>
      <c r="AW125">
        <v>6</v>
      </c>
      <c r="AX125" t="s">
        <v>74</v>
      </c>
      <c r="AY125" t="s">
        <v>74</v>
      </c>
      <c r="AZ125" t="s">
        <v>74</v>
      </c>
      <c r="BA125" t="s">
        <v>74</v>
      </c>
      <c r="BB125">
        <v>1147</v>
      </c>
      <c r="BC125">
        <v>1147</v>
      </c>
      <c r="BD125" t="s">
        <v>2155</v>
      </c>
      <c r="BE125" t="s">
        <v>2156</v>
      </c>
      <c r="BF125" t="str">
        <f>HYPERLINK("http://dx.doi.org/10.1371/journal.pbio.0030224","http://dx.doi.org/10.1371/journal.pbio.0030224")</f>
        <v>http://dx.doi.org/10.1371/journal.pbio.0030224</v>
      </c>
      <c r="BG125" t="s">
        <v>74</v>
      </c>
      <c r="BH125" t="s">
        <v>74</v>
      </c>
      <c r="BI125">
        <v>1</v>
      </c>
      <c r="BJ125" t="s">
        <v>2157</v>
      </c>
      <c r="BK125" t="s">
        <v>95</v>
      </c>
      <c r="BL125" t="s">
        <v>2158</v>
      </c>
      <c r="BM125" t="s">
        <v>2159</v>
      </c>
      <c r="BN125" t="s">
        <v>74</v>
      </c>
      <c r="BO125" t="s">
        <v>2160</v>
      </c>
      <c r="BP125" t="s">
        <v>74</v>
      </c>
      <c r="BQ125" t="s">
        <v>74</v>
      </c>
      <c r="BR125" t="s">
        <v>97</v>
      </c>
      <c r="BS125" t="s">
        <v>2161</v>
      </c>
      <c r="BT125" t="str">
        <f>HYPERLINK("https%3A%2F%2Fwww.webofscience.com%2Fwos%2Fwoscc%2Ffull-record%2FWOS:000229992900024","View Full Record in Web of Science")</f>
        <v>View Full Record in Web of Science</v>
      </c>
    </row>
    <row r="126" spans="1:72" x14ac:dyDescent="0.15">
      <c r="A126" t="s">
        <v>72</v>
      </c>
      <c r="B126" t="s">
        <v>2162</v>
      </c>
      <c r="C126" t="s">
        <v>74</v>
      </c>
      <c r="D126" t="s">
        <v>74</v>
      </c>
      <c r="E126" t="s">
        <v>74</v>
      </c>
      <c r="F126" t="s">
        <v>2162</v>
      </c>
      <c r="G126" t="s">
        <v>74</v>
      </c>
      <c r="H126" t="s">
        <v>74</v>
      </c>
      <c r="I126" t="s">
        <v>2163</v>
      </c>
      <c r="J126" t="s">
        <v>124</v>
      </c>
      <c r="K126" t="s">
        <v>74</v>
      </c>
      <c r="L126" t="s">
        <v>74</v>
      </c>
      <c r="M126" t="s">
        <v>77</v>
      </c>
      <c r="N126" t="s">
        <v>78</v>
      </c>
      <c r="O126" t="s">
        <v>74</v>
      </c>
      <c r="P126" t="s">
        <v>74</v>
      </c>
      <c r="Q126" t="s">
        <v>74</v>
      </c>
      <c r="R126" t="s">
        <v>74</v>
      </c>
      <c r="S126" t="s">
        <v>74</v>
      </c>
      <c r="T126" t="s">
        <v>74</v>
      </c>
      <c r="U126" t="s">
        <v>2164</v>
      </c>
      <c r="V126" t="s">
        <v>2165</v>
      </c>
      <c r="W126" t="s">
        <v>2166</v>
      </c>
      <c r="X126" t="s">
        <v>2167</v>
      </c>
      <c r="Y126" t="s">
        <v>2168</v>
      </c>
      <c r="Z126" t="s">
        <v>2169</v>
      </c>
      <c r="AA126" t="s">
        <v>2170</v>
      </c>
      <c r="AB126" t="s">
        <v>2171</v>
      </c>
      <c r="AC126" t="s">
        <v>74</v>
      </c>
      <c r="AD126" t="s">
        <v>74</v>
      </c>
      <c r="AE126" t="s">
        <v>74</v>
      </c>
      <c r="AF126" t="s">
        <v>74</v>
      </c>
      <c r="AG126">
        <v>63</v>
      </c>
      <c r="AH126">
        <v>18</v>
      </c>
      <c r="AI126">
        <v>20</v>
      </c>
      <c r="AJ126">
        <v>1</v>
      </c>
      <c r="AK126">
        <v>11</v>
      </c>
      <c r="AL126" t="s">
        <v>133</v>
      </c>
      <c r="AM126" t="s">
        <v>134</v>
      </c>
      <c r="AN126" t="s">
        <v>181</v>
      </c>
      <c r="AO126" t="s">
        <v>136</v>
      </c>
      <c r="AP126" t="s">
        <v>156</v>
      </c>
      <c r="AQ126" t="s">
        <v>74</v>
      </c>
      <c r="AR126" t="s">
        <v>137</v>
      </c>
      <c r="AS126" t="s">
        <v>138</v>
      </c>
      <c r="AT126" t="s">
        <v>1072</v>
      </c>
      <c r="AU126">
        <v>2005</v>
      </c>
      <c r="AV126">
        <v>28</v>
      </c>
      <c r="AW126">
        <v>7</v>
      </c>
      <c r="AX126" t="s">
        <v>74</v>
      </c>
      <c r="AY126" t="s">
        <v>74</v>
      </c>
      <c r="AZ126" t="s">
        <v>74</v>
      </c>
      <c r="BA126" t="s">
        <v>74</v>
      </c>
      <c r="BB126">
        <v>506</v>
      </c>
      <c r="BC126">
        <v>513</v>
      </c>
      <c r="BD126" t="s">
        <v>74</v>
      </c>
      <c r="BE126" t="s">
        <v>2172</v>
      </c>
      <c r="BF126" t="str">
        <f>HYPERLINK("http://dx.doi.org/10.1007/s00300-005-0718-5","http://dx.doi.org/10.1007/s00300-005-0718-5")</f>
        <v>http://dx.doi.org/10.1007/s00300-005-0718-5</v>
      </c>
      <c r="BG126" t="s">
        <v>74</v>
      </c>
      <c r="BH126" t="s">
        <v>74</v>
      </c>
      <c r="BI126">
        <v>8</v>
      </c>
      <c r="BJ126" t="s">
        <v>140</v>
      </c>
      <c r="BK126" t="s">
        <v>95</v>
      </c>
      <c r="BL126" t="s">
        <v>141</v>
      </c>
      <c r="BM126" t="s">
        <v>2173</v>
      </c>
      <c r="BN126" t="s">
        <v>74</v>
      </c>
      <c r="BO126" t="s">
        <v>74</v>
      </c>
      <c r="BP126" t="s">
        <v>74</v>
      </c>
      <c r="BQ126" t="s">
        <v>74</v>
      </c>
      <c r="BR126" t="s">
        <v>97</v>
      </c>
      <c r="BS126" t="s">
        <v>2174</v>
      </c>
      <c r="BT126" t="str">
        <f>HYPERLINK("https%3A%2F%2Fwww.webofscience.com%2Fwos%2Fwoscc%2Ffull-record%2FWOS:000229730200002","View Full Record in Web of Science")</f>
        <v>View Full Record in Web of Science</v>
      </c>
    </row>
    <row r="127" spans="1:72" x14ac:dyDescent="0.15">
      <c r="A127" t="s">
        <v>72</v>
      </c>
      <c r="B127" t="s">
        <v>2175</v>
      </c>
      <c r="C127" t="s">
        <v>74</v>
      </c>
      <c r="D127" t="s">
        <v>74</v>
      </c>
      <c r="E127" t="s">
        <v>74</v>
      </c>
      <c r="F127" t="s">
        <v>2175</v>
      </c>
      <c r="G127" t="s">
        <v>74</v>
      </c>
      <c r="H127" t="s">
        <v>74</v>
      </c>
      <c r="I127" t="s">
        <v>2176</v>
      </c>
      <c r="J127" t="s">
        <v>124</v>
      </c>
      <c r="K127" t="s">
        <v>74</v>
      </c>
      <c r="L127" t="s">
        <v>74</v>
      </c>
      <c r="M127" t="s">
        <v>77</v>
      </c>
      <c r="N127" t="s">
        <v>78</v>
      </c>
      <c r="O127" t="s">
        <v>74</v>
      </c>
      <c r="P127" t="s">
        <v>74</v>
      </c>
      <c r="Q127" t="s">
        <v>74</v>
      </c>
      <c r="R127" t="s">
        <v>74</v>
      </c>
      <c r="S127" t="s">
        <v>74</v>
      </c>
      <c r="T127" t="s">
        <v>74</v>
      </c>
      <c r="U127" t="s">
        <v>2177</v>
      </c>
      <c r="V127" t="s">
        <v>2178</v>
      </c>
      <c r="W127" t="s">
        <v>2179</v>
      </c>
      <c r="X127" t="s">
        <v>2180</v>
      </c>
      <c r="Y127" t="s">
        <v>2181</v>
      </c>
      <c r="Z127" t="s">
        <v>2182</v>
      </c>
      <c r="AA127" t="s">
        <v>74</v>
      </c>
      <c r="AB127" t="s">
        <v>74</v>
      </c>
      <c r="AC127" t="s">
        <v>74</v>
      </c>
      <c r="AD127" t="s">
        <v>74</v>
      </c>
      <c r="AE127" t="s">
        <v>74</v>
      </c>
      <c r="AF127" t="s">
        <v>74</v>
      </c>
      <c r="AG127">
        <v>40</v>
      </c>
      <c r="AH127">
        <v>27</v>
      </c>
      <c r="AI127">
        <v>30</v>
      </c>
      <c r="AJ127">
        <v>0</v>
      </c>
      <c r="AK127">
        <v>8</v>
      </c>
      <c r="AL127" t="s">
        <v>133</v>
      </c>
      <c r="AM127" t="s">
        <v>134</v>
      </c>
      <c r="AN127" t="s">
        <v>155</v>
      </c>
      <c r="AO127" t="s">
        <v>136</v>
      </c>
      <c r="AP127" t="s">
        <v>156</v>
      </c>
      <c r="AQ127" t="s">
        <v>74</v>
      </c>
      <c r="AR127" t="s">
        <v>137</v>
      </c>
      <c r="AS127" t="s">
        <v>138</v>
      </c>
      <c r="AT127" t="s">
        <v>1072</v>
      </c>
      <c r="AU127">
        <v>2005</v>
      </c>
      <c r="AV127">
        <v>28</v>
      </c>
      <c r="AW127">
        <v>7</v>
      </c>
      <c r="AX127" t="s">
        <v>74</v>
      </c>
      <c r="AY127" t="s">
        <v>74</v>
      </c>
      <c r="AZ127" t="s">
        <v>74</v>
      </c>
      <c r="BA127" t="s">
        <v>74</v>
      </c>
      <c r="BB127">
        <v>514</v>
      </c>
      <c r="BC127">
        <v>522</v>
      </c>
      <c r="BD127" t="s">
        <v>74</v>
      </c>
      <c r="BE127" t="s">
        <v>2183</v>
      </c>
      <c r="BF127" t="str">
        <f>HYPERLINK("http://dx.doi.org/10.1007/s00300-005-0717-6","http://dx.doi.org/10.1007/s00300-005-0717-6")</f>
        <v>http://dx.doi.org/10.1007/s00300-005-0717-6</v>
      </c>
      <c r="BG127" t="s">
        <v>74</v>
      </c>
      <c r="BH127" t="s">
        <v>74</v>
      </c>
      <c r="BI127">
        <v>9</v>
      </c>
      <c r="BJ127" t="s">
        <v>140</v>
      </c>
      <c r="BK127" t="s">
        <v>95</v>
      </c>
      <c r="BL127" t="s">
        <v>141</v>
      </c>
      <c r="BM127" t="s">
        <v>2173</v>
      </c>
      <c r="BN127" t="s">
        <v>74</v>
      </c>
      <c r="BO127" t="s">
        <v>74</v>
      </c>
      <c r="BP127" t="s">
        <v>74</v>
      </c>
      <c r="BQ127" t="s">
        <v>74</v>
      </c>
      <c r="BR127" t="s">
        <v>97</v>
      </c>
      <c r="BS127" t="s">
        <v>2184</v>
      </c>
      <c r="BT127" t="str">
        <f>HYPERLINK("https%3A%2F%2Fwww.webofscience.com%2Fwos%2Fwoscc%2Ffull-record%2FWOS:000229730200003","View Full Record in Web of Science")</f>
        <v>View Full Record in Web of Science</v>
      </c>
    </row>
    <row r="128" spans="1:72" x14ac:dyDescent="0.15">
      <c r="A128" t="s">
        <v>72</v>
      </c>
      <c r="B128" t="s">
        <v>2185</v>
      </c>
      <c r="C128" t="s">
        <v>74</v>
      </c>
      <c r="D128" t="s">
        <v>74</v>
      </c>
      <c r="E128" t="s">
        <v>74</v>
      </c>
      <c r="F128" t="s">
        <v>2185</v>
      </c>
      <c r="G128" t="s">
        <v>74</v>
      </c>
      <c r="H128" t="s">
        <v>74</v>
      </c>
      <c r="I128" t="s">
        <v>2186</v>
      </c>
      <c r="J128" t="s">
        <v>124</v>
      </c>
      <c r="K128" t="s">
        <v>74</v>
      </c>
      <c r="L128" t="s">
        <v>74</v>
      </c>
      <c r="M128" t="s">
        <v>77</v>
      </c>
      <c r="N128" t="s">
        <v>78</v>
      </c>
      <c r="O128" t="s">
        <v>74</v>
      </c>
      <c r="P128" t="s">
        <v>74</v>
      </c>
      <c r="Q128" t="s">
        <v>74</v>
      </c>
      <c r="R128" t="s">
        <v>74</v>
      </c>
      <c r="S128" t="s">
        <v>74</v>
      </c>
      <c r="T128" t="s">
        <v>2187</v>
      </c>
      <c r="U128" t="s">
        <v>2188</v>
      </c>
      <c r="V128" t="s">
        <v>2189</v>
      </c>
      <c r="W128" t="s">
        <v>2190</v>
      </c>
      <c r="X128" t="s">
        <v>2191</v>
      </c>
      <c r="Y128" t="s">
        <v>2192</v>
      </c>
      <c r="Z128" t="s">
        <v>2193</v>
      </c>
      <c r="AA128" t="s">
        <v>2194</v>
      </c>
      <c r="AB128" t="s">
        <v>2195</v>
      </c>
      <c r="AC128" t="s">
        <v>74</v>
      </c>
      <c r="AD128" t="s">
        <v>74</v>
      </c>
      <c r="AE128" t="s">
        <v>74</v>
      </c>
      <c r="AF128" t="s">
        <v>74</v>
      </c>
      <c r="AG128">
        <v>43</v>
      </c>
      <c r="AH128">
        <v>39</v>
      </c>
      <c r="AI128">
        <v>43</v>
      </c>
      <c r="AJ128">
        <v>0</v>
      </c>
      <c r="AK128">
        <v>11</v>
      </c>
      <c r="AL128" t="s">
        <v>133</v>
      </c>
      <c r="AM128" t="s">
        <v>134</v>
      </c>
      <c r="AN128" t="s">
        <v>181</v>
      </c>
      <c r="AO128" t="s">
        <v>136</v>
      </c>
      <c r="AP128" t="s">
        <v>156</v>
      </c>
      <c r="AQ128" t="s">
        <v>74</v>
      </c>
      <c r="AR128" t="s">
        <v>137</v>
      </c>
      <c r="AS128" t="s">
        <v>138</v>
      </c>
      <c r="AT128" t="s">
        <v>1072</v>
      </c>
      <c r="AU128">
        <v>2005</v>
      </c>
      <c r="AV128">
        <v>28</v>
      </c>
      <c r="AW128">
        <v>7</v>
      </c>
      <c r="AX128" t="s">
        <v>74</v>
      </c>
      <c r="AY128" t="s">
        <v>74</v>
      </c>
      <c r="AZ128" t="s">
        <v>74</v>
      </c>
      <c r="BA128" t="s">
        <v>74</v>
      </c>
      <c r="BB128">
        <v>523</v>
      </c>
      <c r="BC128">
        <v>527</v>
      </c>
      <c r="BD128" t="s">
        <v>74</v>
      </c>
      <c r="BE128" t="s">
        <v>2196</v>
      </c>
      <c r="BF128" t="str">
        <f>HYPERLINK("http://dx.doi.org/10.1007/s00300-005-0716-7","http://dx.doi.org/10.1007/s00300-005-0716-7")</f>
        <v>http://dx.doi.org/10.1007/s00300-005-0716-7</v>
      </c>
      <c r="BG128" t="s">
        <v>74</v>
      </c>
      <c r="BH128" t="s">
        <v>74</v>
      </c>
      <c r="BI128">
        <v>5</v>
      </c>
      <c r="BJ128" t="s">
        <v>140</v>
      </c>
      <c r="BK128" t="s">
        <v>95</v>
      </c>
      <c r="BL128" t="s">
        <v>141</v>
      </c>
      <c r="BM128" t="s">
        <v>2173</v>
      </c>
      <c r="BN128" t="s">
        <v>74</v>
      </c>
      <c r="BO128" t="s">
        <v>143</v>
      </c>
      <c r="BP128" t="s">
        <v>74</v>
      </c>
      <c r="BQ128" t="s">
        <v>74</v>
      </c>
      <c r="BR128" t="s">
        <v>97</v>
      </c>
      <c r="BS128" t="s">
        <v>2197</v>
      </c>
      <c r="BT128" t="str">
        <f>HYPERLINK("https%3A%2F%2Fwww.webofscience.com%2Fwos%2Fwoscc%2Ffull-record%2FWOS:000229730200004","View Full Record in Web of Science")</f>
        <v>View Full Record in Web of Science</v>
      </c>
    </row>
    <row r="129" spans="1:72" x14ac:dyDescent="0.15">
      <c r="A129" t="s">
        <v>72</v>
      </c>
      <c r="B129" t="s">
        <v>2198</v>
      </c>
      <c r="C129" t="s">
        <v>74</v>
      </c>
      <c r="D129" t="s">
        <v>74</v>
      </c>
      <c r="E129" t="s">
        <v>74</v>
      </c>
      <c r="F129" t="s">
        <v>2198</v>
      </c>
      <c r="G129" t="s">
        <v>74</v>
      </c>
      <c r="H129" t="s">
        <v>74</v>
      </c>
      <c r="I129" t="s">
        <v>2199</v>
      </c>
      <c r="J129" t="s">
        <v>124</v>
      </c>
      <c r="K129" t="s">
        <v>74</v>
      </c>
      <c r="L129" t="s">
        <v>74</v>
      </c>
      <c r="M129" t="s">
        <v>77</v>
      </c>
      <c r="N129" t="s">
        <v>78</v>
      </c>
      <c r="O129" t="s">
        <v>74</v>
      </c>
      <c r="P129" t="s">
        <v>74</v>
      </c>
      <c r="Q129" t="s">
        <v>74</v>
      </c>
      <c r="R129" t="s">
        <v>74</v>
      </c>
      <c r="S129" t="s">
        <v>74</v>
      </c>
      <c r="T129" t="s">
        <v>74</v>
      </c>
      <c r="U129" t="s">
        <v>2200</v>
      </c>
      <c r="V129" t="s">
        <v>2201</v>
      </c>
      <c r="W129" t="s">
        <v>2202</v>
      </c>
      <c r="X129" t="s">
        <v>2203</v>
      </c>
      <c r="Y129" t="s">
        <v>2204</v>
      </c>
      <c r="Z129" t="s">
        <v>2205</v>
      </c>
      <c r="AA129" t="s">
        <v>2206</v>
      </c>
      <c r="AB129" t="s">
        <v>2207</v>
      </c>
      <c r="AC129" t="s">
        <v>74</v>
      </c>
      <c r="AD129" t="s">
        <v>74</v>
      </c>
      <c r="AE129" t="s">
        <v>74</v>
      </c>
      <c r="AF129" t="s">
        <v>74</v>
      </c>
      <c r="AG129">
        <v>9</v>
      </c>
      <c r="AH129">
        <v>34</v>
      </c>
      <c r="AI129">
        <v>37</v>
      </c>
      <c r="AJ129">
        <v>0</v>
      </c>
      <c r="AK129">
        <v>16</v>
      </c>
      <c r="AL129" t="s">
        <v>133</v>
      </c>
      <c r="AM129" t="s">
        <v>134</v>
      </c>
      <c r="AN129" t="s">
        <v>135</v>
      </c>
      <c r="AO129" t="s">
        <v>136</v>
      </c>
      <c r="AP129" t="s">
        <v>74</v>
      </c>
      <c r="AQ129" t="s">
        <v>74</v>
      </c>
      <c r="AR129" t="s">
        <v>137</v>
      </c>
      <c r="AS129" t="s">
        <v>138</v>
      </c>
      <c r="AT129" t="s">
        <v>1072</v>
      </c>
      <c r="AU129">
        <v>2005</v>
      </c>
      <c r="AV129">
        <v>28</v>
      </c>
      <c r="AW129">
        <v>7</v>
      </c>
      <c r="AX129" t="s">
        <v>74</v>
      </c>
      <c r="AY129" t="s">
        <v>74</v>
      </c>
      <c r="AZ129" t="s">
        <v>74</v>
      </c>
      <c r="BA129" t="s">
        <v>74</v>
      </c>
      <c r="BB129">
        <v>568</v>
      </c>
      <c r="BC129">
        <v>570</v>
      </c>
      <c r="BD129" t="s">
        <v>74</v>
      </c>
      <c r="BE129" t="s">
        <v>2208</v>
      </c>
      <c r="BF129" t="str">
        <f>HYPERLINK("http://dx.doi.org/10.1007/s00300-005-0720-y","http://dx.doi.org/10.1007/s00300-005-0720-y")</f>
        <v>http://dx.doi.org/10.1007/s00300-005-0720-y</v>
      </c>
      <c r="BG129" t="s">
        <v>74</v>
      </c>
      <c r="BH129" t="s">
        <v>74</v>
      </c>
      <c r="BI129">
        <v>3</v>
      </c>
      <c r="BJ129" t="s">
        <v>140</v>
      </c>
      <c r="BK129" t="s">
        <v>95</v>
      </c>
      <c r="BL129" t="s">
        <v>141</v>
      </c>
      <c r="BM129" t="s">
        <v>2173</v>
      </c>
      <c r="BN129" t="s">
        <v>74</v>
      </c>
      <c r="BO129" t="s">
        <v>74</v>
      </c>
      <c r="BP129" t="s">
        <v>74</v>
      </c>
      <c r="BQ129" t="s">
        <v>74</v>
      </c>
      <c r="BR129" t="s">
        <v>97</v>
      </c>
      <c r="BS129" t="s">
        <v>2209</v>
      </c>
      <c r="BT129" t="str">
        <f>HYPERLINK("https%3A%2F%2Fwww.webofscience.com%2Fwos%2Fwoscc%2Ffull-record%2FWOS:000229730200009","View Full Record in Web of Science")</f>
        <v>View Full Record in Web of Science</v>
      </c>
    </row>
    <row r="130" spans="1:72" x14ac:dyDescent="0.15">
      <c r="A130" t="s">
        <v>72</v>
      </c>
      <c r="B130" t="s">
        <v>2210</v>
      </c>
      <c r="C130" t="s">
        <v>74</v>
      </c>
      <c r="D130" t="s">
        <v>74</v>
      </c>
      <c r="E130" t="s">
        <v>74</v>
      </c>
      <c r="F130" t="s">
        <v>2210</v>
      </c>
      <c r="G130" t="s">
        <v>74</v>
      </c>
      <c r="H130" t="s">
        <v>74</v>
      </c>
      <c r="I130" t="s">
        <v>2211</v>
      </c>
      <c r="J130" t="s">
        <v>124</v>
      </c>
      <c r="K130" t="s">
        <v>74</v>
      </c>
      <c r="L130" t="s">
        <v>74</v>
      </c>
      <c r="M130" t="s">
        <v>77</v>
      </c>
      <c r="N130" t="s">
        <v>78</v>
      </c>
      <c r="O130" t="s">
        <v>74</v>
      </c>
      <c r="P130" t="s">
        <v>74</v>
      </c>
      <c r="Q130" t="s">
        <v>74</v>
      </c>
      <c r="R130" t="s">
        <v>74</v>
      </c>
      <c r="S130" t="s">
        <v>74</v>
      </c>
      <c r="T130" t="s">
        <v>74</v>
      </c>
      <c r="U130" t="s">
        <v>2212</v>
      </c>
      <c r="V130" t="s">
        <v>2213</v>
      </c>
      <c r="W130" t="s">
        <v>2214</v>
      </c>
      <c r="X130" t="s">
        <v>2215</v>
      </c>
      <c r="Y130" t="s">
        <v>2216</v>
      </c>
      <c r="Z130" t="s">
        <v>2217</v>
      </c>
      <c r="AA130" t="s">
        <v>2218</v>
      </c>
      <c r="AB130" t="s">
        <v>2219</v>
      </c>
      <c r="AC130" t="s">
        <v>74</v>
      </c>
      <c r="AD130" t="s">
        <v>74</v>
      </c>
      <c r="AE130" t="s">
        <v>74</v>
      </c>
      <c r="AF130" t="s">
        <v>74</v>
      </c>
      <c r="AG130">
        <v>16</v>
      </c>
      <c r="AH130">
        <v>6</v>
      </c>
      <c r="AI130">
        <v>7</v>
      </c>
      <c r="AJ130">
        <v>0</v>
      </c>
      <c r="AK130">
        <v>5</v>
      </c>
      <c r="AL130" t="s">
        <v>133</v>
      </c>
      <c r="AM130" t="s">
        <v>134</v>
      </c>
      <c r="AN130" t="s">
        <v>135</v>
      </c>
      <c r="AO130" t="s">
        <v>136</v>
      </c>
      <c r="AP130" t="s">
        <v>74</v>
      </c>
      <c r="AQ130" t="s">
        <v>74</v>
      </c>
      <c r="AR130" t="s">
        <v>137</v>
      </c>
      <c r="AS130" t="s">
        <v>138</v>
      </c>
      <c r="AT130" t="s">
        <v>1072</v>
      </c>
      <c r="AU130">
        <v>2005</v>
      </c>
      <c r="AV130">
        <v>28</v>
      </c>
      <c r="AW130">
        <v>7</v>
      </c>
      <c r="AX130" t="s">
        <v>74</v>
      </c>
      <c r="AY130" t="s">
        <v>74</v>
      </c>
      <c r="AZ130" t="s">
        <v>74</v>
      </c>
      <c r="BA130" t="s">
        <v>74</v>
      </c>
      <c r="BB130">
        <v>571</v>
      </c>
      <c r="BC130">
        <v>573</v>
      </c>
      <c r="BD130" t="s">
        <v>74</v>
      </c>
      <c r="BE130" t="s">
        <v>2220</v>
      </c>
      <c r="BF130" t="str">
        <f>HYPERLINK("http://dx.doi.org/10.1007/s00300-005-0724-7","http://dx.doi.org/10.1007/s00300-005-0724-7")</f>
        <v>http://dx.doi.org/10.1007/s00300-005-0724-7</v>
      </c>
      <c r="BG130" t="s">
        <v>74</v>
      </c>
      <c r="BH130" t="s">
        <v>74</v>
      </c>
      <c r="BI130">
        <v>3</v>
      </c>
      <c r="BJ130" t="s">
        <v>140</v>
      </c>
      <c r="BK130" t="s">
        <v>95</v>
      </c>
      <c r="BL130" t="s">
        <v>141</v>
      </c>
      <c r="BM130" t="s">
        <v>2173</v>
      </c>
      <c r="BN130" t="s">
        <v>74</v>
      </c>
      <c r="BO130" t="s">
        <v>74</v>
      </c>
      <c r="BP130" t="s">
        <v>74</v>
      </c>
      <c r="BQ130" t="s">
        <v>74</v>
      </c>
      <c r="BR130" t="s">
        <v>97</v>
      </c>
      <c r="BS130" t="s">
        <v>2221</v>
      </c>
      <c r="BT130" t="str">
        <f>HYPERLINK("https%3A%2F%2Fwww.webofscience.com%2Fwos%2Fwoscc%2Ffull-record%2FWOS:000229730200010","View Full Record in Web of Science")</f>
        <v>View Full Record in Web of Science</v>
      </c>
    </row>
    <row r="131" spans="1:72" x14ac:dyDescent="0.15">
      <c r="A131" t="s">
        <v>72</v>
      </c>
      <c r="B131" t="s">
        <v>2222</v>
      </c>
      <c r="C131" t="s">
        <v>74</v>
      </c>
      <c r="D131" t="s">
        <v>74</v>
      </c>
      <c r="E131" t="s">
        <v>74</v>
      </c>
      <c r="F131" t="s">
        <v>2222</v>
      </c>
      <c r="G131" t="s">
        <v>74</v>
      </c>
      <c r="H131" t="s">
        <v>74</v>
      </c>
      <c r="I131" t="s">
        <v>2223</v>
      </c>
      <c r="J131" t="s">
        <v>2224</v>
      </c>
      <c r="K131" t="s">
        <v>74</v>
      </c>
      <c r="L131" t="s">
        <v>74</v>
      </c>
      <c r="M131" t="s">
        <v>77</v>
      </c>
      <c r="N131" t="s">
        <v>78</v>
      </c>
      <c r="O131" t="s">
        <v>74</v>
      </c>
      <c r="P131" t="s">
        <v>74</v>
      </c>
      <c r="Q131" t="s">
        <v>74</v>
      </c>
      <c r="R131" t="s">
        <v>74</v>
      </c>
      <c r="S131" t="s">
        <v>74</v>
      </c>
      <c r="T131" t="s">
        <v>2225</v>
      </c>
      <c r="U131" t="s">
        <v>2226</v>
      </c>
      <c r="V131" t="s">
        <v>2227</v>
      </c>
      <c r="W131" t="s">
        <v>2228</v>
      </c>
      <c r="X131" t="s">
        <v>2229</v>
      </c>
      <c r="Y131" t="s">
        <v>2230</v>
      </c>
      <c r="Z131" t="s">
        <v>2231</v>
      </c>
      <c r="AA131" t="s">
        <v>74</v>
      </c>
      <c r="AB131" t="s">
        <v>74</v>
      </c>
      <c r="AC131" t="s">
        <v>74</v>
      </c>
      <c r="AD131" t="s">
        <v>74</v>
      </c>
      <c r="AE131" t="s">
        <v>74</v>
      </c>
      <c r="AF131" t="s">
        <v>74</v>
      </c>
      <c r="AG131">
        <v>35</v>
      </c>
      <c r="AH131">
        <v>39</v>
      </c>
      <c r="AI131">
        <v>43</v>
      </c>
      <c r="AJ131">
        <v>0</v>
      </c>
      <c r="AK131">
        <v>16</v>
      </c>
      <c r="AL131" t="s">
        <v>2232</v>
      </c>
      <c r="AM131" t="s">
        <v>256</v>
      </c>
      <c r="AN131" t="s">
        <v>2233</v>
      </c>
      <c r="AO131" t="s">
        <v>2234</v>
      </c>
      <c r="AP131" t="s">
        <v>2235</v>
      </c>
      <c r="AQ131" t="s">
        <v>74</v>
      </c>
      <c r="AR131" t="s">
        <v>2236</v>
      </c>
      <c r="AS131" t="s">
        <v>2237</v>
      </c>
      <c r="AT131" t="s">
        <v>1072</v>
      </c>
      <c r="AU131">
        <v>2005</v>
      </c>
      <c r="AV131">
        <v>40</v>
      </c>
      <c r="AW131">
        <v>7</v>
      </c>
      <c r="AX131" t="s">
        <v>74</v>
      </c>
      <c r="AY131" t="s">
        <v>74</v>
      </c>
      <c r="AZ131" t="s">
        <v>74</v>
      </c>
      <c r="BA131" t="s">
        <v>74</v>
      </c>
      <c r="BB131">
        <v>2387</v>
      </c>
      <c r="BC131">
        <v>2391</v>
      </c>
      <c r="BD131" t="s">
        <v>74</v>
      </c>
      <c r="BE131" t="s">
        <v>2238</v>
      </c>
      <c r="BF131" t="str">
        <f>HYPERLINK("http://dx.doi.org/10.1016/j.procbio.2004.09.018","http://dx.doi.org/10.1016/j.procbio.2004.09.018")</f>
        <v>http://dx.doi.org/10.1016/j.procbio.2004.09.018</v>
      </c>
      <c r="BG131" t="s">
        <v>74</v>
      </c>
      <c r="BH131" t="s">
        <v>74</v>
      </c>
      <c r="BI131">
        <v>5</v>
      </c>
      <c r="BJ131" t="s">
        <v>2239</v>
      </c>
      <c r="BK131" t="s">
        <v>95</v>
      </c>
      <c r="BL131" t="s">
        <v>2240</v>
      </c>
      <c r="BM131" t="s">
        <v>2241</v>
      </c>
      <c r="BN131" t="s">
        <v>74</v>
      </c>
      <c r="BO131" t="s">
        <v>74</v>
      </c>
      <c r="BP131" t="s">
        <v>74</v>
      </c>
      <c r="BQ131" t="s">
        <v>74</v>
      </c>
      <c r="BR131" t="s">
        <v>97</v>
      </c>
      <c r="BS131" t="s">
        <v>2242</v>
      </c>
      <c r="BT131" t="str">
        <f>HYPERLINK("https%3A%2F%2Fwww.webofscience.com%2Fwos%2Fwoscc%2Ffull-record%2FWOS:000228221800016","View Full Record in Web of Science")</f>
        <v>View Full Record in Web of Science</v>
      </c>
    </row>
    <row r="132" spans="1:72" x14ac:dyDescent="0.15">
      <c r="A132" t="s">
        <v>72</v>
      </c>
      <c r="B132" t="s">
        <v>2243</v>
      </c>
      <c r="C132" t="s">
        <v>74</v>
      </c>
      <c r="D132" t="s">
        <v>74</v>
      </c>
      <c r="E132" t="s">
        <v>74</v>
      </c>
      <c r="F132" t="s">
        <v>2243</v>
      </c>
      <c r="G132" t="s">
        <v>74</v>
      </c>
      <c r="H132" t="s">
        <v>74</v>
      </c>
      <c r="I132" t="s">
        <v>2244</v>
      </c>
      <c r="J132" t="s">
        <v>2245</v>
      </c>
      <c r="K132" t="s">
        <v>74</v>
      </c>
      <c r="L132" t="s">
        <v>74</v>
      </c>
      <c r="M132" t="s">
        <v>77</v>
      </c>
      <c r="N132" t="s">
        <v>365</v>
      </c>
      <c r="O132" t="s">
        <v>74</v>
      </c>
      <c r="P132" t="s">
        <v>74</v>
      </c>
      <c r="Q132" t="s">
        <v>74</v>
      </c>
      <c r="R132" t="s">
        <v>74</v>
      </c>
      <c r="S132" t="s">
        <v>74</v>
      </c>
      <c r="T132" t="s">
        <v>2246</v>
      </c>
      <c r="U132" t="s">
        <v>2247</v>
      </c>
      <c r="V132" t="s">
        <v>2248</v>
      </c>
      <c r="W132" t="s">
        <v>2249</v>
      </c>
      <c r="X132" t="s">
        <v>2250</v>
      </c>
      <c r="Y132" t="s">
        <v>2251</v>
      </c>
      <c r="Z132" t="s">
        <v>74</v>
      </c>
      <c r="AA132" t="s">
        <v>2252</v>
      </c>
      <c r="AB132" t="s">
        <v>2253</v>
      </c>
      <c r="AC132" t="s">
        <v>74</v>
      </c>
      <c r="AD132" t="s">
        <v>74</v>
      </c>
      <c r="AE132" t="s">
        <v>74</v>
      </c>
      <c r="AF132" t="s">
        <v>74</v>
      </c>
      <c r="AG132">
        <v>32</v>
      </c>
      <c r="AH132">
        <v>9</v>
      </c>
      <c r="AI132">
        <v>11</v>
      </c>
      <c r="AJ132">
        <v>3</v>
      </c>
      <c r="AK132">
        <v>17</v>
      </c>
      <c r="AL132" t="s">
        <v>2254</v>
      </c>
      <c r="AM132" t="s">
        <v>739</v>
      </c>
      <c r="AN132" t="s">
        <v>2255</v>
      </c>
      <c r="AO132" t="s">
        <v>2256</v>
      </c>
      <c r="AP132" t="s">
        <v>2257</v>
      </c>
      <c r="AQ132" t="s">
        <v>74</v>
      </c>
      <c r="AR132" t="s">
        <v>2258</v>
      </c>
      <c r="AS132" t="s">
        <v>2259</v>
      </c>
      <c r="AT132" t="s">
        <v>1072</v>
      </c>
      <c r="AU132">
        <v>2005</v>
      </c>
      <c r="AV132">
        <v>29</v>
      </c>
      <c r="AW132">
        <v>2</v>
      </c>
      <c r="AX132" t="s">
        <v>74</v>
      </c>
      <c r="AY132" t="s">
        <v>74</v>
      </c>
      <c r="AZ132" t="s">
        <v>74</v>
      </c>
      <c r="BA132" t="s">
        <v>74</v>
      </c>
      <c r="BB132">
        <v>156</v>
      </c>
      <c r="BC132">
        <v>170</v>
      </c>
      <c r="BD132" t="s">
        <v>74</v>
      </c>
      <c r="BE132" t="s">
        <v>2260</v>
      </c>
      <c r="BF132" t="str">
        <f>HYPERLINK("http://dx.doi.org/10.1191/0309133305pp441ra","http://dx.doi.org/10.1191/0309133305pp441ra")</f>
        <v>http://dx.doi.org/10.1191/0309133305pp441ra</v>
      </c>
      <c r="BG132" t="s">
        <v>74</v>
      </c>
      <c r="BH132" t="s">
        <v>74</v>
      </c>
      <c r="BI132">
        <v>15</v>
      </c>
      <c r="BJ132" t="s">
        <v>242</v>
      </c>
      <c r="BK132" t="s">
        <v>95</v>
      </c>
      <c r="BL132" t="s">
        <v>243</v>
      </c>
      <c r="BM132" t="s">
        <v>2261</v>
      </c>
      <c r="BN132" t="s">
        <v>74</v>
      </c>
      <c r="BO132" t="s">
        <v>74</v>
      </c>
      <c r="BP132" t="s">
        <v>74</v>
      </c>
      <c r="BQ132" t="s">
        <v>74</v>
      </c>
      <c r="BR132" t="s">
        <v>97</v>
      </c>
      <c r="BS132" t="s">
        <v>2262</v>
      </c>
      <c r="BT132" t="str">
        <f>HYPERLINK("https%3A%2F%2Fwww.webofscience.com%2Fwos%2Fwoscc%2Ffull-record%2FWOS:000229476500002","View Full Record in Web of Science")</f>
        <v>View Full Record in Web of Science</v>
      </c>
    </row>
    <row r="133" spans="1:72" x14ac:dyDescent="0.15">
      <c r="A133" t="s">
        <v>72</v>
      </c>
      <c r="B133" t="s">
        <v>2263</v>
      </c>
      <c r="C133" t="s">
        <v>74</v>
      </c>
      <c r="D133" t="s">
        <v>74</v>
      </c>
      <c r="E133" t="s">
        <v>74</v>
      </c>
      <c r="F133" t="s">
        <v>2263</v>
      </c>
      <c r="G133" t="s">
        <v>74</v>
      </c>
      <c r="H133" t="s">
        <v>74</v>
      </c>
      <c r="I133" t="s">
        <v>2264</v>
      </c>
      <c r="J133" t="s">
        <v>2265</v>
      </c>
      <c r="K133" t="s">
        <v>74</v>
      </c>
      <c r="L133" t="s">
        <v>74</v>
      </c>
      <c r="M133" t="s">
        <v>77</v>
      </c>
      <c r="N133" t="s">
        <v>78</v>
      </c>
      <c r="O133" t="s">
        <v>74</v>
      </c>
      <c r="P133" t="s">
        <v>74</v>
      </c>
      <c r="Q133" t="s">
        <v>74</v>
      </c>
      <c r="R133" t="s">
        <v>74</v>
      </c>
      <c r="S133" t="s">
        <v>74</v>
      </c>
      <c r="T133" t="s">
        <v>2266</v>
      </c>
      <c r="U133" t="s">
        <v>2267</v>
      </c>
      <c r="V133" t="s">
        <v>2268</v>
      </c>
      <c r="W133" t="s">
        <v>2269</v>
      </c>
      <c r="X133" t="s">
        <v>2270</v>
      </c>
      <c r="Y133" t="s">
        <v>2271</v>
      </c>
      <c r="Z133" t="s">
        <v>2272</v>
      </c>
      <c r="AA133" t="s">
        <v>2273</v>
      </c>
      <c r="AB133" t="s">
        <v>2274</v>
      </c>
      <c r="AC133" t="s">
        <v>74</v>
      </c>
      <c r="AD133" t="s">
        <v>74</v>
      </c>
      <c r="AE133" t="s">
        <v>74</v>
      </c>
      <c r="AF133" t="s">
        <v>74</v>
      </c>
      <c r="AG133">
        <v>29</v>
      </c>
      <c r="AH133">
        <v>39</v>
      </c>
      <c r="AI133">
        <v>42</v>
      </c>
      <c r="AJ133">
        <v>2</v>
      </c>
      <c r="AK133">
        <v>16</v>
      </c>
      <c r="AL133" t="s">
        <v>2275</v>
      </c>
      <c r="AM133" t="s">
        <v>2276</v>
      </c>
      <c r="AN133" t="s">
        <v>2277</v>
      </c>
      <c r="AO133" t="s">
        <v>2278</v>
      </c>
      <c r="AP133" t="s">
        <v>74</v>
      </c>
      <c r="AQ133" t="s">
        <v>74</v>
      </c>
      <c r="AR133" t="s">
        <v>2279</v>
      </c>
      <c r="AS133" t="s">
        <v>2280</v>
      </c>
      <c r="AT133" t="s">
        <v>1072</v>
      </c>
      <c r="AU133">
        <v>2005</v>
      </c>
      <c r="AV133">
        <v>28</v>
      </c>
      <c r="AW133">
        <v>4</v>
      </c>
      <c r="AX133" t="s">
        <v>74</v>
      </c>
      <c r="AY133" t="s">
        <v>74</v>
      </c>
      <c r="AZ133" t="s">
        <v>74</v>
      </c>
      <c r="BA133" t="s">
        <v>74</v>
      </c>
      <c r="BB133">
        <v>310</v>
      </c>
      <c r="BC133">
        <v>315</v>
      </c>
      <c r="BD133" t="s">
        <v>74</v>
      </c>
      <c r="BE133" t="s">
        <v>2281</v>
      </c>
      <c r="BF133" t="str">
        <f>HYPERLINK("http://dx.doi.org/10.1016/j.syapm.2005.01.001","http://dx.doi.org/10.1016/j.syapm.2005.01.001")</f>
        <v>http://dx.doi.org/10.1016/j.syapm.2005.01.001</v>
      </c>
      <c r="BG133" t="s">
        <v>74</v>
      </c>
      <c r="BH133" t="s">
        <v>74</v>
      </c>
      <c r="BI133">
        <v>6</v>
      </c>
      <c r="BJ133" t="s">
        <v>2282</v>
      </c>
      <c r="BK133" t="s">
        <v>95</v>
      </c>
      <c r="BL133" t="s">
        <v>2282</v>
      </c>
      <c r="BM133" t="s">
        <v>2283</v>
      </c>
      <c r="BN133">
        <v>15997703</v>
      </c>
      <c r="BO133" t="s">
        <v>74</v>
      </c>
      <c r="BP133" t="s">
        <v>74</v>
      </c>
      <c r="BQ133" t="s">
        <v>74</v>
      </c>
      <c r="BR133" t="s">
        <v>97</v>
      </c>
      <c r="BS133" t="s">
        <v>2284</v>
      </c>
      <c r="BT133" t="str">
        <f>HYPERLINK("https%3A%2F%2Fwww.webofscience.com%2Fwos%2Fwoscc%2Ffull-record%2FWOS:000230346200004","View Full Record in Web of Science")</f>
        <v>View Full Record in Web of Science</v>
      </c>
    </row>
    <row r="134" spans="1:72" x14ac:dyDescent="0.15">
      <c r="A134" t="s">
        <v>72</v>
      </c>
      <c r="B134" t="s">
        <v>2285</v>
      </c>
      <c r="C134" t="s">
        <v>74</v>
      </c>
      <c r="D134" t="s">
        <v>74</v>
      </c>
      <c r="E134" t="s">
        <v>74</v>
      </c>
      <c r="F134" t="s">
        <v>2285</v>
      </c>
      <c r="G134" t="s">
        <v>74</v>
      </c>
      <c r="H134" t="s">
        <v>74</v>
      </c>
      <c r="I134" t="s">
        <v>2286</v>
      </c>
      <c r="J134" t="s">
        <v>2287</v>
      </c>
      <c r="K134" t="s">
        <v>74</v>
      </c>
      <c r="L134" t="s">
        <v>74</v>
      </c>
      <c r="M134" t="s">
        <v>77</v>
      </c>
      <c r="N134" t="s">
        <v>78</v>
      </c>
      <c r="O134" t="s">
        <v>74</v>
      </c>
      <c r="P134" t="s">
        <v>74</v>
      </c>
      <c r="Q134" t="s">
        <v>74</v>
      </c>
      <c r="R134" t="s">
        <v>74</v>
      </c>
      <c r="S134" t="s">
        <v>74</v>
      </c>
      <c r="T134" t="s">
        <v>2288</v>
      </c>
      <c r="U134" t="s">
        <v>2289</v>
      </c>
      <c r="V134" t="s">
        <v>2290</v>
      </c>
      <c r="W134" t="s">
        <v>2291</v>
      </c>
      <c r="X134" t="s">
        <v>2292</v>
      </c>
      <c r="Y134" t="s">
        <v>2293</v>
      </c>
      <c r="Z134" t="s">
        <v>2294</v>
      </c>
      <c r="AA134" t="s">
        <v>2295</v>
      </c>
      <c r="AB134" t="s">
        <v>2296</v>
      </c>
      <c r="AC134" t="s">
        <v>74</v>
      </c>
      <c r="AD134" t="s">
        <v>74</v>
      </c>
      <c r="AE134" t="s">
        <v>74</v>
      </c>
      <c r="AF134" t="s">
        <v>74</v>
      </c>
      <c r="AG134">
        <v>38</v>
      </c>
      <c r="AH134">
        <v>17</v>
      </c>
      <c r="AI134">
        <v>17</v>
      </c>
      <c r="AJ134">
        <v>0</v>
      </c>
      <c r="AK134">
        <v>5</v>
      </c>
      <c r="AL134" t="s">
        <v>2297</v>
      </c>
      <c r="AM134" t="s">
        <v>2298</v>
      </c>
      <c r="AN134" t="s">
        <v>2299</v>
      </c>
      <c r="AO134" t="s">
        <v>2300</v>
      </c>
      <c r="AP134" t="s">
        <v>74</v>
      </c>
      <c r="AQ134" t="s">
        <v>74</v>
      </c>
      <c r="AR134" t="s">
        <v>2301</v>
      </c>
      <c r="AS134" t="s">
        <v>2302</v>
      </c>
      <c r="AT134" t="s">
        <v>1072</v>
      </c>
      <c r="AU134">
        <v>2005</v>
      </c>
      <c r="AV134">
        <v>37</v>
      </c>
      <c r="AW134">
        <v>3</v>
      </c>
      <c r="AX134" t="s">
        <v>74</v>
      </c>
      <c r="AY134" t="s">
        <v>74</v>
      </c>
      <c r="AZ134" t="s">
        <v>74</v>
      </c>
      <c r="BA134" t="s">
        <v>74</v>
      </c>
      <c r="BB134">
        <v>233</v>
      </c>
      <c r="BC134">
        <v>240</v>
      </c>
      <c r="BD134" t="s">
        <v>74</v>
      </c>
      <c r="BE134" t="s">
        <v>2303</v>
      </c>
      <c r="BF134" t="str">
        <f>HYPERLINK("http://dx.doi.org/10.1016/j.tice.2005.02.002","http://dx.doi.org/10.1016/j.tice.2005.02.002")</f>
        <v>http://dx.doi.org/10.1016/j.tice.2005.02.002</v>
      </c>
      <c r="BG134" t="s">
        <v>74</v>
      </c>
      <c r="BH134" t="s">
        <v>74</v>
      </c>
      <c r="BI134">
        <v>8</v>
      </c>
      <c r="BJ134" t="s">
        <v>2304</v>
      </c>
      <c r="BK134" t="s">
        <v>95</v>
      </c>
      <c r="BL134" t="s">
        <v>2304</v>
      </c>
      <c r="BM134" t="s">
        <v>2305</v>
      </c>
      <c r="BN134">
        <v>15899508</v>
      </c>
      <c r="BO134" t="s">
        <v>74</v>
      </c>
      <c r="BP134" t="s">
        <v>74</v>
      </c>
      <c r="BQ134" t="s">
        <v>74</v>
      </c>
      <c r="BR134" t="s">
        <v>97</v>
      </c>
      <c r="BS134" t="s">
        <v>2306</v>
      </c>
      <c r="BT134" t="str">
        <f>HYPERLINK("https%3A%2F%2Fwww.webofscience.com%2Fwos%2Fwoscc%2Ffull-record%2FWOS:000230045600007","View Full Record in Web of Science")</f>
        <v>View Full Record in Web of Science</v>
      </c>
    </row>
    <row r="135" spans="1:72" x14ac:dyDescent="0.15">
      <c r="A135" t="s">
        <v>72</v>
      </c>
      <c r="B135" t="s">
        <v>2307</v>
      </c>
      <c r="C135" t="s">
        <v>74</v>
      </c>
      <c r="D135" t="s">
        <v>74</v>
      </c>
      <c r="E135" t="s">
        <v>74</v>
      </c>
      <c r="F135" t="s">
        <v>2307</v>
      </c>
      <c r="G135" t="s">
        <v>74</v>
      </c>
      <c r="H135" t="s">
        <v>74</v>
      </c>
      <c r="I135" t="s">
        <v>2308</v>
      </c>
      <c r="J135" t="s">
        <v>2309</v>
      </c>
      <c r="K135" t="s">
        <v>74</v>
      </c>
      <c r="L135" t="s">
        <v>74</v>
      </c>
      <c r="M135" t="s">
        <v>77</v>
      </c>
      <c r="N135" t="s">
        <v>78</v>
      </c>
      <c r="O135" t="s">
        <v>74</v>
      </c>
      <c r="P135" t="s">
        <v>74</v>
      </c>
      <c r="Q135" t="s">
        <v>74</v>
      </c>
      <c r="R135" t="s">
        <v>74</v>
      </c>
      <c r="S135" t="s">
        <v>74</v>
      </c>
      <c r="T135" t="s">
        <v>2310</v>
      </c>
      <c r="U135" t="s">
        <v>2311</v>
      </c>
      <c r="V135" t="s">
        <v>2312</v>
      </c>
      <c r="W135" t="s">
        <v>670</v>
      </c>
      <c r="X135" t="s">
        <v>671</v>
      </c>
      <c r="Y135" t="s">
        <v>230</v>
      </c>
      <c r="Z135" t="s">
        <v>2205</v>
      </c>
      <c r="AA135" t="s">
        <v>2313</v>
      </c>
      <c r="AB135" t="s">
        <v>74</v>
      </c>
      <c r="AC135" t="s">
        <v>74</v>
      </c>
      <c r="AD135" t="s">
        <v>74</v>
      </c>
      <c r="AE135" t="s">
        <v>74</v>
      </c>
      <c r="AF135" t="s">
        <v>74</v>
      </c>
      <c r="AG135">
        <v>23</v>
      </c>
      <c r="AH135">
        <v>10</v>
      </c>
      <c r="AI135">
        <v>11</v>
      </c>
      <c r="AJ135">
        <v>0</v>
      </c>
      <c r="AK135">
        <v>10</v>
      </c>
      <c r="AL135" t="s">
        <v>255</v>
      </c>
      <c r="AM135" t="s">
        <v>256</v>
      </c>
      <c r="AN135" t="s">
        <v>257</v>
      </c>
      <c r="AO135" t="s">
        <v>2314</v>
      </c>
      <c r="AP135" t="s">
        <v>74</v>
      </c>
      <c r="AQ135" t="s">
        <v>74</v>
      </c>
      <c r="AR135" t="s">
        <v>2315</v>
      </c>
      <c r="AS135" t="s">
        <v>2316</v>
      </c>
      <c r="AT135" t="s">
        <v>1072</v>
      </c>
      <c r="AU135">
        <v>2005</v>
      </c>
      <c r="AV135">
        <v>39</v>
      </c>
      <c r="AW135">
        <v>11</v>
      </c>
      <c r="AX135" t="s">
        <v>74</v>
      </c>
      <c r="AY135" t="s">
        <v>74</v>
      </c>
      <c r="AZ135" t="s">
        <v>74</v>
      </c>
      <c r="BA135" t="s">
        <v>74</v>
      </c>
      <c r="BB135">
        <v>2237</v>
      </c>
      <c r="BC135">
        <v>2244</v>
      </c>
      <c r="BD135" t="s">
        <v>74</v>
      </c>
      <c r="BE135" t="s">
        <v>2317</v>
      </c>
      <c r="BF135" t="str">
        <f>HYPERLINK("http://dx.doi.org/10.1016/j.watres.2005.04.011","http://dx.doi.org/10.1016/j.watres.2005.04.011")</f>
        <v>http://dx.doi.org/10.1016/j.watres.2005.04.011</v>
      </c>
      <c r="BG135" t="s">
        <v>74</v>
      </c>
      <c r="BH135" t="s">
        <v>74</v>
      </c>
      <c r="BI135">
        <v>8</v>
      </c>
      <c r="BJ135" t="s">
        <v>2318</v>
      </c>
      <c r="BK135" t="s">
        <v>95</v>
      </c>
      <c r="BL135" t="s">
        <v>2319</v>
      </c>
      <c r="BM135" t="s">
        <v>2320</v>
      </c>
      <c r="BN135">
        <v>15927228</v>
      </c>
      <c r="BO135" t="s">
        <v>74</v>
      </c>
      <c r="BP135" t="s">
        <v>74</v>
      </c>
      <c r="BQ135" t="s">
        <v>74</v>
      </c>
      <c r="BR135" t="s">
        <v>97</v>
      </c>
      <c r="BS135" t="s">
        <v>2321</v>
      </c>
      <c r="BT135" t="str">
        <f>HYPERLINK("https%3A%2F%2Fwww.webofscience.com%2Fwos%2Fwoscc%2Ffull-record%2FWOS:000230590800004","View Full Record in Web of Science")</f>
        <v>View Full Record in Web of Science</v>
      </c>
    </row>
    <row r="136" spans="1:72" x14ac:dyDescent="0.15">
      <c r="A136" t="s">
        <v>72</v>
      </c>
      <c r="B136" t="s">
        <v>2322</v>
      </c>
      <c r="C136" t="s">
        <v>74</v>
      </c>
      <c r="D136" t="s">
        <v>74</v>
      </c>
      <c r="E136" t="s">
        <v>74</v>
      </c>
      <c r="F136" t="s">
        <v>2322</v>
      </c>
      <c r="G136" t="s">
        <v>74</v>
      </c>
      <c r="H136" t="s">
        <v>74</v>
      </c>
      <c r="I136" t="s">
        <v>2323</v>
      </c>
      <c r="J136" t="s">
        <v>2324</v>
      </c>
      <c r="K136" t="s">
        <v>74</v>
      </c>
      <c r="L136" t="s">
        <v>74</v>
      </c>
      <c r="M136" t="s">
        <v>77</v>
      </c>
      <c r="N136" t="s">
        <v>78</v>
      </c>
      <c r="O136" t="s">
        <v>74</v>
      </c>
      <c r="P136" t="s">
        <v>74</v>
      </c>
      <c r="Q136" t="s">
        <v>74</v>
      </c>
      <c r="R136" t="s">
        <v>74</v>
      </c>
      <c r="S136" t="s">
        <v>74</v>
      </c>
      <c r="T136" t="s">
        <v>2325</v>
      </c>
      <c r="U136" t="s">
        <v>2326</v>
      </c>
      <c r="V136" t="s">
        <v>2327</v>
      </c>
      <c r="W136" t="s">
        <v>2328</v>
      </c>
      <c r="X136" t="s">
        <v>2329</v>
      </c>
      <c r="Y136" t="s">
        <v>2330</v>
      </c>
      <c r="Z136" t="s">
        <v>2331</v>
      </c>
      <c r="AA136" t="s">
        <v>74</v>
      </c>
      <c r="AB136" t="s">
        <v>74</v>
      </c>
      <c r="AC136" t="s">
        <v>74</v>
      </c>
      <c r="AD136" t="s">
        <v>74</v>
      </c>
      <c r="AE136" t="s">
        <v>74</v>
      </c>
      <c r="AF136" t="s">
        <v>74</v>
      </c>
      <c r="AG136">
        <v>27</v>
      </c>
      <c r="AH136">
        <v>43</v>
      </c>
      <c r="AI136">
        <v>53</v>
      </c>
      <c r="AJ136">
        <v>1</v>
      </c>
      <c r="AK136">
        <v>7</v>
      </c>
      <c r="AL136" t="s">
        <v>2332</v>
      </c>
      <c r="AM136" t="s">
        <v>134</v>
      </c>
      <c r="AN136" t="s">
        <v>2333</v>
      </c>
      <c r="AO136" t="s">
        <v>2334</v>
      </c>
      <c r="AP136" t="s">
        <v>2335</v>
      </c>
      <c r="AQ136" t="s">
        <v>74</v>
      </c>
      <c r="AR136" t="s">
        <v>2336</v>
      </c>
      <c r="AS136" t="s">
        <v>2337</v>
      </c>
      <c r="AT136" t="s">
        <v>1383</v>
      </c>
      <c r="AU136">
        <v>2005</v>
      </c>
      <c r="AV136">
        <v>16</v>
      </c>
      <c r="AW136">
        <v>2</v>
      </c>
      <c r="AX136" t="s">
        <v>74</v>
      </c>
      <c r="AY136" t="s">
        <v>74</v>
      </c>
      <c r="AZ136" t="s">
        <v>74</v>
      </c>
      <c r="BA136" t="s">
        <v>74</v>
      </c>
      <c r="BB136">
        <v>81</v>
      </c>
      <c r="BC136">
        <v>91</v>
      </c>
      <c r="BD136" t="s">
        <v>74</v>
      </c>
      <c r="BE136" t="s">
        <v>2338</v>
      </c>
      <c r="BF136" t="str">
        <f>HYPERLINK("http://dx.doi.org/10.1580/PR30-04.1","http://dx.doi.org/10.1580/PR30-04.1")</f>
        <v>http://dx.doi.org/10.1580/PR30-04.1</v>
      </c>
      <c r="BG136" t="s">
        <v>74</v>
      </c>
      <c r="BH136" t="s">
        <v>74</v>
      </c>
      <c r="BI136">
        <v>11</v>
      </c>
      <c r="BJ136" t="s">
        <v>2339</v>
      </c>
      <c r="BK136" t="s">
        <v>95</v>
      </c>
      <c r="BL136" t="s">
        <v>2339</v>
      </c>
      <c r="BM136" t="s">
        <v>2340</v>
      </c>
      <c r="BN136">
        <v>15974257</v>
      </c>
      <c r="BO136" t="s">
        <v>539</v>
      </c>
      <c r="BP136" t="s">
        <v>74</v>
      </c>
      <c r="BQ136" t="s">
        <v>74</v>
      </c>
      <c r="BR136" t="s">
        <v>97</v>
      </c>
      <c r="BS136" t="s">
        <v>2341</v>
      </c>
      <c r="BT136" t="str">
        <f>HYPERLINK("https%3A%2F%2Fwww.webofscience.com%2Fwos%2Fwoscc%2Ffull-record%2FWOS:000229738600004","View Full Record in Web of Science")</f>
        <v>View Full Record in Web of Science</v>
      </c>
    </row>
    <row r="137" spans="1:72" x14ac:dyDescent="0.15">
      <c r="A137" t="s">
        <v>72</v>
      </c>
      <c r="B137" t="s">
        <v>2342</v>
      </c>
      <c r="C137" t="s">
        <v>74</v>
      </c>
      <c r="D137" t="s">
        <v>74</v>
      </c>
      <c r="E137" t="s">
        <v>74</v>
      </c>
      <c r="F137" t="s">
        <v>2342</v>
      </c>
      <c r="G137" t="s">
        <v>74</v>
      </c>
      <c r="H137" t="s">
        <v>74</v>
      </c>
      <c r="I137" t="s">
        <v>2343</v>
      </c>
      <c r="J137" t="s">
        <v>2344</v>
      </c>
      <c r="K137" t="s">
        <v>74</v>
      </c>
      <c r="L137" t="s">
        <v>74</v>
      </c>
      <c r="M137" t="s">
        <v>77</v>
      </c>
      <c r="N137" t="s">
        <v>78</v>
      </c>
      <c r="O137" t="s">
        <v>74</v>
      </c>
      <c r="P137" t="s">
        <v>74</v>
      </c>
      <c r="Q137" t="s">
        <v>74</v>
      </c>
      <c r="R137" t="s">
        <v>74</v>
      </c>
      <c r="S137" t="s">
        <v>74</v>
      </c>
      <c r="T137" t="s">
        <v>74</v>
      </c>
      <c r="U137" t="s">
        <v>2345</v>
      </c>
      <c r="V137" t="s">
        <v>2346</v>
      </c>
      <c r="W137" t="s">
        <v>2347</v>
      </c>
      <c r="X137" t="s">
        <v>2348</v>
      </c>
      <c r="Y137" t="s">
        <v>2349</v>
      </c>
      <c r="Z137" t="s">
        <v>2350</v>
      </c>
      <c r="AA137" t="s">
        <v>2351</v>
      </c>
      <c r="AB137" t="s">
        <v>2352</v>
      </c>
      <c r="AC137" t="s">
        <v>74</v>
      </c>
      <c r="AD137" t="s">
        <v>74</v>
      </c>
      <c r="AE137" t="s">
        <v>74</v>
      </c>
      <c r="AF137" t="s">
        <v>74</v>
      </c>
      <c r="AG137">
        <v>45</v>
      </c>
      <c r="AH137">
        <v>91</v>
      </c>
      <c r="AI137">
        <v>103</v>
      </c>
      <c r="AJ137">
        <v>0</v>
      </c>
      <c r="AK137">
        <v>15</v>
      </c>
      <c r="AL137" t="s">
        <v>2353</v>
      </c>
      <c r="AM137" t="s">
        <v>2354</v>
      </c>
      <c r="AN137" t="s">
        <v>2355</v>
      </c>
      <c r="AO137" t="s">
        <v>2356</v>
      </c>
      <c r="AP137" t="s">
        <v>2357</v>
      </c>
      <c r="AQ137" t="s">
        <v>74</v>
      </c>
      <c r="AR137" t="s">
        <v>2358</v>
      </c>
      <c r="AS137" t="s">
        <v>2359</v>
      </c>
      <c r="AT137" t="s">
        <v>2360</v>
      </c>
      <c r="AU137">
        <v>2005</v>
      </c>
      <c r="AV137">
        <v>5</v>
      </c>
      <c r="AW137" t="s">
        <v>74</v>
      </c>
      <c r="AX137" t="s">
        <v>74</v>
      </c>
      <c r="AY137" t="s">
        <v>74</v>
      </c>
      <c r="AZ137" t="s">
        <v>74</v>
      </c>
      <c r="BA137" t="s">
        <v>74</v>
      </c>
      <c r="BB137">
        <v>1257</v>
      </c>
      <c r="BC137">
        <v>1272</v>
      </c>
      <c r="BD137" t="s">
        <v>74</v>
      </c>
      <c r="BE137" t="s">
        <v>2361</v>
      </c>
      <c r="BF137" t="str">
        <f>HYPERLINK("http://dx.doi.org/10.5194/acp-5-1257-2005","http://dx.doi.org/10.5194/acp-5-1257-2005")</f>
        <v>http://dx.doi.org/10.5194/acp-5-1257-2005</v>
      </c>
      <c r="BG137" t="s">
        <v>74</v>
      </c>
      <c r="BH137" t="s">
        <v>74</v>
      </c>
      <c r="BI137">
        <v>16</v>
      </c>
      <c r="BJ137" t="s">
        <v>2362</v>
      </c>
      <c r="BK137" t="s">
        <v>95</v>
      </c>
      <c r="BL137" t="s">
        <v>2363</v>
      </c>
      <c r="BM137" t="s">
        <v>2364</v>
      </c>
      <c r="BN137" t="s">
        <v>74</v>
      </c>
      <c r="BO137" t="s">
        <v>2365</v>
      </c>
      <c r="BP137" t="s">
        <v>74</v>
      </c>
      <c r="BQ137" t="s">
        <v>74</v>
      </c>
      <c r="BR137" t="s">
        <v>97</v>
      </c>
      <c r="BS137" t="s">
        <v>2366</v>
      </c>
      <c r="BT137" t="str">
        <f>HYPERLINK("https%3A%2F%2Fwww.webofscience.com%2Fwos%2Fwoscc%2Ffull-record%2FWOS:000229493100001","View Full Record in Web of Science")</f>
        <v>View Full Record in Web of Science</v>
      </c>
    </row>
    <row r="138" spans="1:72" x14ac:dyDescent="0.15">
      <c r="A138" t="s">
        <v>72</v>
      </c>
      <c r="B138" t="s">
        <v>2367</v>
      </c>
      <c r="C138" t="s">
        <v>74</v>
      </c>
      <c r="D138" t="s">
        <v>74</v>
      </c>
      <c r="E138" t="s">
        <v>74</v>
      </c>
      <c r="F138" t="s">
        <v>2367</v>
      </c>
      <c r="G138" t="s">
        <v>74</v>
      </c>
      <c r="H138" t="s">
        <v>74</v>
      </c>
      <c r="I138" t="s">
        <v>2368</v>
      </c>
      <c r="J138" t="s">
        <v>425</v>
      </c>
      <c r="K138" t="s">
        <v>74</v>
      </c>
      <c r="L138" t="s">
        <v>74</v>
      </c>
      <c r="M138" t="s">
        <v>77</v>
      </c>
      <c r="N138" t="s">
        <v>78</v>
      </c>
      <c r="O138" t="s">
        <v>74</v>
      </c>
      <c r="P138" t="s">
        <v>74</v>
      </c>
      <c r="Q138" t="s">
        <v>74</v>
      </c>
      <c r="R138" t="s">
        <v>74</v>
      </c>
      <c r="S138" t="s">
        <v>74</v>
      </c>
      <c r="T138" t="s">
        <v>2369</v>
      </c>
      <c r="U138" t="s">
        <v>2370</v>
      </c>
      <c r="V138" t="s">
        <v>2371</v>
      </c>
      <c r="W138" t="s">
        <v>2372</v>
      </c>
      <c r="X138" t="s">
        <v>2373</v>
      </c>
      <c r="Y138" t="s">
        <v>2374</v>
      </c>
      <c r="Z138" t="s">
        <v>2375</v>
      </c>
      <c r="AA138" t="s">
        <v>2376</v>
      </c>
      <c r="AB138" t="s">
        <v>2377</v>
      </c>
      <c r="AC138" t="s">
        <v>74</v>
      </c>
      <c r="AD138" t="s">
        <v>74</v>
      </c>
      <c r="AE138" t="s">
        <v>74</v>
      </c>
      <c r="AF138" t="s">
        <v>74</v>
      </c>
      <c r="AG138">
        <v>29</v>
      </c>
      <c r="AH138">
        <v>46</v>
      </c>
      <c r="AI138">
        <v>51</v>
      </c>
      <c r="AJ138">
        <v>0</v>
      </c>
      <c r="AK138">
        <v>22</v>
      </c>
      <c r="AL138" t="s">
        <v>435</v>
      </c>
      <c r="AM138" t="s">
        <v>436</v>
      </c>
      <c r="AN138" t="s">
        <v>437</v>
      </c>
      <c r="AO138" t="s">
        <v>438</v>
      </c>
      <c r="AP138" t="s">
        <v>439</v>
      </c>
      <c r="AQ138" t="s">
        <v>74</v>
      </c>
      <c r="AR138" t="s">
        <v>440</v>
      </c>
      <c r="AS138" t="s">
        <v>441</v>
      </c>
      <c r="AT138" t="s">
        <v>2378</v>
      </c>
      <c r="AU138">
        <v>2005</v>
      </c>
      <c r="AV138">
        <v>234</v>
      </c>
      <c r="AW138" t="s">
        <v>442</v>
      </c>
      <c r="AX138" t="s">
        <v>74</v>
      </c>
      <c r="AY138" t="s">
        <v>74</v>
      </c>
      <c r="AZ138" t="s">
        <v>74</v>
      </c>
      <c r="BA138" t="s">
        <v>74</v>
      </c>
      <c r="BB138">
        <v>249</v>
      </c>
      <c r="BC138">
        <v>259</v>
      </c>
      <c r="BD138" t="s">
        <v>74</v>
      </c>
      <c r="BE138" t="s">
        <v>2379</v>
      </c>
      <c r="BF138" t="str">
        <f>HYPERLINK("http://dx.doi.org/10.1016/j.epsl.2005.03.001","http://dx.doi.org/10.1016/j.epsl.2005.03.001")</f>
        <v>http://dx.doi.org/10.1016/j.epsl.2005.03.001</v>
      </c>
      <c r="BG138" t="s">
        <v>74</v>
      </c>
      <c r="BH138" t="s">
        <v>74</v>
      </c>
      <c r="BI138">
        <v>11</v>
      </c>
      <c r="BJ138" t="s">
        <v>381</v>
      </c>
      <c r="BK138" t="s">
        <v>95</v>
      </c>
      <c r="BL138" t="s">
        <v>381</v>
      </c>
      <c r="BM138" t="s">
        <v>2380</v>
      </c>
      <c r="BN138" t="s">
        <v>74</v>
      </c>
      <c r="BO138" t="s">
        <v>74</v>
      </c>
      <c r="BP138" t="s">
        <v>74</v>
      </c>
      <c r="BQ138" t="s">
        <v>74</v>
      </c>
      <c r="BR138" t="s">
        <v>97</v>
      </c>
      <c r="BS138" t="s">
        <v>2381</v>
      </c>
      <c r="BT138" t="str">
        <f>HYPERLINK("https%3A%2F%2Fwww.webofscience.com%2Fwos%2Fwoscc%2Ffull-record%2FWOS:000229693200017","View Full Record in Web of Science")</f>
        <v>View Full Record in Web of Science</v>
      </c>
    </row>
    <row r="139" spans="1:72" x14ac:dyDescent="0.15">
      <c r="A139" t="s">
        <v>72</v>
      </c>
      <c r="B139" t="s">
        <v>2382</v>
      </c>
      <c r="C139" t="s">
        <v>74</v>
      </c>
      <c r="D139" t="s">
        <v>74</v>
      </c>
      <c r="E139" t="s">
        <v>74</v>
      </c>
      <c r="F139" t="s">
        <v>2382</v>
      </c>
      <c r="G139" t="s">
        <v>74</v>
      </c>
      <c r="H139" t="s">
        <v>74</v>
      </c>
      <c r="I139" t="s">
        <v>2383</v>
      </c>
      <c r="J139" t="s">
        <v>2384</v>
      </c>
      <c r="K139" t="s">
        <v>74</v>
      </c>
      <c r="L139" t="s">
        <v>74</v>
      </c>
      <c r="M139" t="s">
        <v>77</v>
      </c>
      <c r="N139" t="s">
        <v>78</v>
      </c>
      <c r="O139" t="s">
        <v>74</v>
      </c>
      <c r="P139" t="s">
        <v>74</v>
      </c>
      <c r="Q139" t="s">
        <v>74</v>
      </c>
      <c r="R139" t="s">
        <v>74</v>
      </c>
      <c r="S139" t="s">
        <v>74</v>
      </c>
      <c r="T139" t="s">
        <v>2385</v>
      </c>
      <c r="U139" t="s">
        <v>2386</v>
      </c>
      <c r="V139" t="s">
        <v>2387</v>
      </c>
      <c r="W139" t="s">
        <v>2388</v>
      </c>
      <c r="X139" t="s">
        <v>2389</v>
      </c>
      <c r="Y139" t="s">
        <v>2390</v>
      </c>
      <c r="Z139" t="s">
        <v>2391</v>
      </c>
      <c r="AA139" t="s">
        <v>2392</v>
      </c>
      <c r="AB139" t="s">
        <v>74</v>
      </c>
      <c r="AC139" t="s">
        <v>74</v>
      </c>
      <c r="AD139" t="s">
        <v>74</v>
      </c>
      <c r="AE139" t="s">
        <v>74</v>
      </c>
      <c r="AF139" t="s">
        <v>74</v>
      </c>
      <c r="AG139">
        <v>35</v>
      </c>
      <c r="AH139">
        <v>14</v>
      </c>
      <c r="AI139">
        <v>16</v>
      </c>
      <c r="AJ139">
        <v>2</v>
      </c>
      <c r="AK139">
        <v>12</v>
      </c>
      <c r="AL139" t="s">
        <v>527</v>
      </c>
      <c r="AM139" t="s">
        <v>528</v>
      </c>
      <c r="AN139" t="s">
        <v>529</v>
      </c>
      <c r="AO139" t="s">
        <v>2393</v>
      </c>
      <c r="AP139" t="s">
        <v>74</v>
      </c>
      <c r="AQ139" t="s">
        <v>74</v>
      </c>
      <c r="AR139" t="s">
        <v>2394</v>
      </c>
      <c r="AS139" t="s">
        <v>2395</v>
      </c>
      <c r="AT139" t="s">
        <v>2396</v>
      </c>
      <c r="AU139">
        <v>2005</v>
      </c>
      <c r="AV139">
        <v>6</v>
      </c>
      <c r="AW139" t="s">
        <v>74</v>
      </c>
      <c r="AX139" t="s">
        <v>74</v>
      </c>
      <c r="AY139" t="s">
        <v>74</v>
      </c>
      <c r="AZ139" t="s">
        <v>74</v>
      </c>
      <c r="BA139" t="s">
        <v>74</v>
      </c>
      <c r="BB139" t="s">
        <v>74</v>
      </c>
      <c r="BC139" t="s">
        <v>74</v>
      </c>
      <c r="BD139" t="s">
        <v>2397</v>
      </c>
      <c r="BE139" t="s">
        <v>2398</v>
      </c>
      <c r="BF139" t="str">
        <f>HYPERLINK("http://dx.doi.org/10.1029/2004GC000902","http://dx.doi.org/10.1029/2004GC000902")</f>
        <v>http://dx.doi.org/10.1029/2004GC000902</v>
      </c>
      <c r="BG139" t="s">
        <v>74</v>
      </c>
      <c r="BH139" t="s">
        <v>74</v>
      </c>
      <c r="BI139">
        <v>13</v>
      </c>
      <c r="BJ139" t="s">
        <v>381</v>
      </c>
      <c r="BK139" t="s">
        <v>95</v>
      </c>
      <c r="BL139" t="s">
        <v>381</v>
      </c>
      <c r="BM139" t="s">
        <v>2399</v>
      </c>
      <c r="BN139" t="s">
        <v>74</v>
      </c>
      <c r="BO139" t="s">
        <v>613</v>
      </c>
      <c r="BP139" t="s">
        <v>74</v>
      </c>
      <c r="BQ139" t="s">
        <v>74</v>
      </c>
      <c r="BR139" t="s">
        <v>97</v>
      </c>
      <c r="BS139" t="s">
        <v>2400</v>
      </c>
      <c r="BT139" t="str">
        <f>HYPERLINK("https%3A%2F%2Fwww.webofscience.com%2Fwos%2Fwoscc%2Ffull-record%2FWOS:000229774300005","View Full Record in Web of Science")</f>
        <v>View Full Record in Web of Science</v>
      </c>
    </row>
    <row r="140" spans="1:72" x14ac:dyDescent="0.15">
      <c r="A140" t="s">
        <v>72</v>
      </c>
      <c r="B140" t="s">
        <v>2401</v>
      </c>
      <c r="C140" t="s">
        <v>74</v>
      </c>
      <c r="D140" t="s">
        <v>74</v>
      </c>
      <c r="E140" t="s">
        <v>74</v>
      </c>
      <c r="F140" t="s">
        <v>2401</v>
      </c>
      <c r="G140" t="s">
        <v>74</v>
      </c>
      <c r="H140" t="s">
        <v>74</v>
      </c>
      <c r="I140" t="s">
        <v>2402</v>
      </c>
      <c r="J140" t="s">
        <v>785</v>
      </c>
      <c r="K140" t="s">
        <v>74</v>
      </c>
      <c r="L140" t="s">
        <v>74</v>
      </c>
      <c r="M140" t="s">
        <v>77</v>
      </c>
      <c r="N140" t="s">
        <v>78</v>
      </c>
      <c r="O140" t="s">
        <v>74</v>
      </c>
      <c r="P140" t="s">
        <v>74</v>
      </c>
      <c r="Q140" t="s">
        <v>74</v>
      </c>
      <c r="R140" t="s">
        <v>74</v>
      </c>
      <c r="S140" t="s">
        <v>74</v>
      </c>
      <c r="T140" t="s">
        <v>2403</v>
      </c>
      <c r="U140" t="s">
        <v>2404</v>
      </c>
      <c r="V140" t="s">
        <v>2405</v>
      </c>
      <c r="W140" t="s">
        <v>2406</v>
      </c>
      <c r="X140" t="s">
        <v>349</v>
      </c>
      <c r="Y140" t="s">
        <v>2407</v>
      </c>
      <c r="Z140" t="s">
        <v>2408</v>
      </c>
      <c r="AA140" t="s">
        <v>2409</v>
      </c>
      <c r="AB140" t="s">
        <v>2410</v>
      </c>
      <c r="AC140" t="s">
        <v>74</v>
      </c>
      <c r="AD140" t="s">
        <v>74</v>
      </c>
      <c r="AE140" t="s">
        <v>74</v>
      </c>
      <c r="AF140" t="s">
        <v>74</v>
      </c>
      <c r="AG140">
        <v>59</v>
      </c>
      <c r="AH140">
        <v>23</v>
      </c>
      <c r="AI140">
        <v>26</v>
      </c>
      <c r="AJ140">
        <v>0</v>
      </c>
      <c r="AK140">
        <v>13</v>
      </c>
      <c r="AL140" t="s">
        <v>456</v>
      </c>
      <c r="AM140" t="s">
        <v>436</v>
      </c>
      <c r="AN140" t="s">
        <v>457</v>
      </c>
      <c r="AO140" t="s">
        <v>795</v>
      </c>
      <c r="AP140" t="s">
        <v>796</v>
      </c>
      <c r="AQ140" t="s">
        <v>74</v>
      </c>
      <c r="AR140" t="s">
        <v>797</v>
      </c>
      <c r="AS140" t="s">
        <v>798</v>
      </c>
      <c r="AT140" t="s">
        <v>2411</v>
      </c>
      <c r="AU140">
        <v>2005</v>
      </c>
      <c r="AV140">
        <v>221</v>
      </c>
      <c r="AW140" t="s">
        <v>442</v>
      </c>
      <c r="AX140" t="s">
        <v>74</v>
      </c>
      <c r="AY140" t="s">
        <v>74</v>
      </c>
      <c r="AZ140" t="s">
        <v>74</v>
      </c>
      <c r="BA140" t="s">
        <v>74</v>
      </c>
      <c r="BB140">
        <v>83</v>
      </c>
      <c r="BC140">
        <v>97</v>
      </c>
      <c r="BD140" t="s">
        <v>74</v>
      </c>
      <c r="BE140" t="s">
        <v>2412</v>
      </c>
      <c r="BF140" t="str">
        <f>HYPERLINK("http://dx.doi.org/10.1016/j.palaeo.2005.02.005","http://dx.doi.org/10.1016/j.palaeo.2005.02.005")</f>
        <v>http://dx.doi.org/10.1016/j.palaeo.2005.02.005</v>
      </c>
      <c r="BG140" t="s">
        <v>74</v>
      </c>
      <c r="BH140" t="s">
        <v>74</v>
      </c>
      <c r="BI140">
        <v>15</v>
      </c>
      <c r="BJ140" t="s">
        <v>801</v>
      </c>
      <c r="BK140" t="s">
        <v>95</v>
      </c>
      <c r="BL140" t="s">
        <v>802</v>
      </c>
      <c r="BM140" t="s">
        <v>2413</v>
      </c>
      <c r="BN140" t="s">
        <v>74</v>
      </c>
      <c r="BO140" t="s">
        <v>74</v>
      </c>
      <c r="BP140" t="s">
        <v>74</v>
      </c>
      <c r="BQ140" t="s">
        <v>74</v>
      </c>
      <c r="BR140" t="s">
        <v>97</v>
      </c>
      <c r="BS140" t="s">
        <v>2414</v>
      </c>
      <c r="BT140" t="str">
        <f>HYPERLINK("https%3A%2F%2Fwww.webofscience.com%2Fwos%2Fwoscc%2Ffull-record%2FWOS:000229499700005","View Full Record in Web of Science")</f>
        <v>View Full Record in Web of Science</v>
      </c>
    </row>
    <row r="141" spans="1:72" x14ac:dyDescent="0.15">
      <c r="A141" t="s">
        <v>72</v>
      </c>
      <c r="B141" t="s">
        <v>2415</v>
      </c>
      <c r="C141" t="s">
        <v>74</v>
      </c>
      <c r="D141" t="s">
        <v>74</v>
      </c>
      <c r="E141" t="s">
        <v>74</v>
      </c>
      <c r="F141" t="s">
        <v>2415</v>
      </c>
      <c r="G141" t="s">
        <v>74</v>
      </c>
      <c r="H141" t="s">
        <v>74</v>
      </c>
      <c r="I141" t="s">
        <v>2416</v>
      </c>
      <c r="J141" t="s">
        <v>2417</v>
      </c>
      <c r="K141" t="s">
        <v>74</v>
      </c>
      <c r="L141" t="s">
        <v>74</v>
      </c>
      <c r="M141" t="s">
        <v>77</v>
      </c>
      <c r="N141" t="s">
        <v>78</v>
      </c>
      <c r="O141" t="s">
        <v>74</v>
      </c>
      <c r="P141" t="s">
        <v>74</v>
      </c>
      <c r="Q141" t="s">
        <v>74</v>
      </c>
      <c r="R141" t="s">
        <v>74</v>
      </c>
      <c r="S141" t="s">
        <v>74</v>
      </c>
      <c r="T141" t="s">
        <v>2418</v>
      </c>
      <c r="U141" t="s">
        <v>2419</v>
      </c>
      <c r="V141" t="s">
        <v>2420</v>
      </c>
      <c r="W141" t="s">
        <v>2421</v>
      </c>
      <c r="X141" t="s">
        <v>2422</v>
      </c>
      <c r="Y141" t="s">
        <v>2423</v>
      </c>
      <c r="Z141" t="s">
        <v>2424</v>
      </c>
      <c r="AA141" t="s">
        <v>74</v>
      </c>
      <c r="AB141" t="s">
        <v>74</v>
      </c>
      <c r="AC141" t="s">
        <v>74</v>
      </c>
      <c r="AD141" t="s">
        <v>74</v>
      </c>
      <c r="AE141" t="s">
        <v>74</v>
      </c>
      <c r="AF141" t="s">
        <v>74</v>
      </c>
      <c r="AG141">
        <v>31</v>
      </c>
      <c r="AH141">
        <v>32</v>
      </c>
      <c r="AI141">
        <v>33</v>
      </c>
      <c r="AJ141">
        <v>0</v>
      </c>
      <c r="AK141">
        <v>3</v>
      </c>
      <c r="AL141" t="s">
        <v>2425</v>
      </c>
      <c r="AM141" t="s">
        <v>2426</v>
      </c>
      <c r="AN141" t="s">
        <v>2427</v>
      </c>
      <c r="AO141" t="s">
        <v>2428</v>
      </c>
      <c r="AP141" t="s">
        <v>74</v>
      </c>
      <c r="AQ141" t="s">
        <v>74</v>
      </c>
      <c r="AR141" t="s">
        <v>2417</v>
      </c>
      <c r="AS141" t="s">
        <v>2429</v>
      </c>
      <c r="AT141" t="s">
        <v>2411</v>
      </c>
      <c r="AU141">
        <v>2005</v>
      </c>
      <c r="AV141" t="s">
        <v>74</v>
      </c>
      <c r="AW141">
        <v>998</v>
      </c>
      <c r="AX141" t="s">
        <v>74</v>
      </c>
      <c r="AY141" t="s">
        <v>74</v>
      </c>
      <c r="AZ141" t="s">
        <v>74</v>
      </c>
      <c r="BA141" t="s">
        <v>74</v>
      </c>
      <c r="BB141">
        <v>1</v>
      </c>
      <c r="BC141">
        <v>14</v>
      </c>
      <c r="BD141" t="s">
        <v>74</v>
      </c>
      <c r="BE141" t="s">
        <v>74</v>
      </c>
      <c r="BF141" t="s">
        <v>74</v>
      </c>
      <c r="BG141" t="s">
        <v>74</v>
      </c>
      <c r="BH141" t="s">
        <v>74</v>
      </c>
      <c r="BI141">
        <v>14</v>
      </c>
      <c r="BJ141" t="s">
        <v>2430</v>
      </c>
      <c r="BK141" t="s">
        <v>95</v>
      </c>
      <c r="BL141" t="s">
        <v>2430</v>
      </c>
      <c r="BM141" t="s">
        <v>2431</v>
      </c>
      <c r="BN141" t="s">
        <v>74</v>
      </c>
      <c r="BO141" t="s">
        <v>74</v>
      </c>
      <c r="BP141" t="s">
        <v>74</v>
      </c>
      <c r="BQ141" t="s">
        <v>74</v>
      </c>
      <c r="BR141" t="s">
        <v>97</v>
      </c>
      <c r="BS141" t="s">
        <v>2432</v>
      </c>
      <c r="BT141" t="str">
        <f>HYPERLINK("https%3A%2F%2Fwww.webofscience.com%2Fwos%2Fwoscc%2Ffull-record%2FWOS:000229380800001","View Full Record in Web of Science")</f>
        <v>View Full Record in Web of Science</v>
      </c>
    </row>
    <row r="142" spans="1:72" x14ac:dyDescent="0.15">
      <c r="A142" t="s">
        <v>72</v>
      </c>
      <c r="B142" t="s">
        <v>2433</v>
      </c>
      <c r="C142" t="s">
        <v>74</v>
      </c>
      <c r="D142" t="s">
        <v>74</v>
      </c>
      <c r="E142" t="s">
        <v>74</v>
      </c>
      <c r="F142" t="s">
        <v>2433</v>
      </c>
      <c r="G142" t="s">
        <v>74</v>
      </c>
      <c r="H142" t="s">
        <v>74</v>
      </c>
      <c r="I142" t="s">
        <v>2434</v>
      </c>
      <c r="J142" t="s">
        <v>2435</v>
      </c>
      <c r="K142" t="s">
        <v>74</v>
      </c>
      <c r="L142" t="s">
        <v>74</v>
      </c>
      <c r="M142" t="s">
        <v>77</v>
      </c>
      <c r="N142" t="s">
        <v>78</v>
      </c>
      <c r="O142" t="s">
        <v>74</v>
      </c>
      <c r="P142" t="s">
        <v>74</v>
      </c>
      <c r="Q142" t="s">
        <v>74</v>
      </c>
      <c r="R142" t="s">
        <v>74</v>
      </c>
      <c r="S142" t="s">
        <v>74</v>
      </c>
      <c r="T142" t="s">
        <v>74</v>
      </c>
      <c r="U142" t="s">
        <v>2436</v>
      </c>
      <c r="V142" t="s">
        <v>2437</v>
      </c>
      <c r="W142" t="s">
        <v>2438</v>
      </c>
      <c r="X142" t="s">
        <v>2439</v>
      </c>
      <c r="Y142" t="s">
        <v>2440</v>
      </c>
      <c r="Z142" t="s">
        <v>2441</v>
      </c>
      <c r="AA142" t="s">
        <v>2442</v>
      </c>
      <c r="AB142" t="s">
        <v>2443</v>
      </c>
      <c r="AC142" t="s">
        <v>74</v>
      </c>
      <c r="AD142" t="s">
        <v>74</v>
      </c>
      <c r="AE142" t="s">
        <v>74</v>
      </c>
      <c r="AF142" t="s">
        <v>74</v>
      </c>
      <c r="AG142">
        <v>18</v>
      </c>
      <c r="AH142">
        <v>26</v>
      </c>
      <c r="AI142">
        <v>28</v>
      </c>
      <c r="AJ142">
        <v>0</v>
      </c>
      <c r="AK142">
        <v>2</v>
      </c>
      <c r="AL142" t="s">
        <v>2444</v>
      </c>
      <c r="AM142" t="s">
        <v>1714</v>
      </c>
      <c r="AN142" t="s">
        <v>1715</v>
      </c>
      <c r="AO142" t="s">
        <v>2445</v>
      </c>
      <c r="AP142" t="s">
        <v>74</v>
      </c>
      <c r="AQ142" t="s">
        <v>74</v>
      </c>
      <c r="AR142" t="s">
        <v>2446</v>
      </c>
      <c r="AS142" t="s">
        <v>2447</v>
      </c>
      <c r="AT142" t="s">
        <v>2448</v>
      </c>
      <c r="AU142">
        <v>2005</v>
      </c>
      <c r="AV142">
        <v>88</v>
      </c>
      <c r="AW142">
        <v>10</v>
      </c>
      <c r="AX142" t="s">
        <v>74</v>
      </c>
      <c r="AY142" t="s">
        <v>74</v>
      </c>
      <c r="AZ142" t="s">
        <v>74</v>
      </c>
      <c r="BA142" t="s">
        <v>74</v>
      </c>
      <c r="BB142">
        <v>1669</v>
      </c>
      <c r="BC142">
        <v>1673</v>
      </c>
      <c r="BD142" t="s">
        <v>74</v>
      </c>
      <c r="BE142" t="s">
        <v>74</v>
      </c>
      <c r="BF142" t="s">
        <v>74</v>
      </c>
      <c r="BG142" t="s">
        <v>74</v>
      </c>
      <c r="BH142" t="s">
        <v>74</v>
      </c>
      <c r="BI142">
        <v>5</v>
      </c>
      <c r="BJ142" t="s">
        <v>682</v>
      </c>
      <c r="BK142" t="s">
        <v>95</v>
      </c>
      <c r="BL142" t="s">
        <v>683</v>
      </c>
      <c r="BM142" t="s">
        <v>2449</v>
      </c>
      <c r="BN142" t="s">
        <v>74</v>
      </c>
      <c r="BO142" t="s">
        <v>74</v>
      </c>
      <c r="BP142" t="s">
        <v>74</v>
      </c>
      <c r="BQ142" t="s">
        <v>74</v>
      </c>
      <c r="BR142" t="s">
        <v>97</v>
      </c>
      <c r="BS142" t="s">
        <v>2450</v>
      </c>
      <c r="BT142" t="str">
        <f>HYPERLINK("https%3A%2F%2Fwww.webofscience.com%2Fwos%2Fwoscc%2Ffull-record%2FWOS:000229730700031","View Full Record in Web of Science")</f>
        <v>View Full Record in Web of Science</v>
      </c>
    </row>
    <row r="143" spans="1:72" x14ac:dyDescent="0.15">
      <c r="A143" t="s">
        <v>72</v>
      </c>
      <c r="B143" t="s">
        <v>2451</v>
      </c>
      <c r="C143" t="s">
        <v>74</v>
      </c>
      <c r="D143" t="s">
        <v>74</v>
      </c>
      <c r="E143" t="s">
        <v>74</v>
      </c>
      <c r="F143" t="s">
        <v>2451</v>
      </c>
      <c r="G143" t="s">
        <v>74</v>
      </c>
      <c r="H143" t="s">
        <v>74</v>
      </c>
      <c r="I143" t="s">
        <v>2452</v>
      </c>
      <c r="J143" t="s">
        <v>1868</v>
      </c>
      <c r="K143" t="s">
        <v>74</v>
      </c>
      <c r="L143" t="s">
        <v>74</v>
      </c>
      <c r="M143" t="s">
        <v>77</v>
      </c>
      <c r="N143" t="s">
        <v>78</v>
      </c>
      <c r="O143" t="s">
        <v>74</v>
      </c>
      <c r="P143" t="s">
        <v>74</v>
      </c>
      <c r="Q143" t="s">
        <v>74</v>
      </c>
      <c r="R143" t="s">
        <v>74</v>
      </c>
      <c r="S143" t="s">
        <v>74</v>
      </c>
      <c r="T143" t="s">
        <v>74</v>
      </c>
      <c r="U143" t="s">
        <v>2453</v>
      </c>
      <c r="V143" t="s">
        <v>2454</v>
      </c>
      <c r="W143" t="s">
        <v>2455</v>
      </c>
      <c r="X143" t="s">
        <v>2456</v>
      </c>
      <c r="Y143" t="s">
        <v>2457</v>
      </c>
      <c r="Z143" t="s">
        <v>2458</v>
      </c>
      <c r="AA143" t="s">
        <v>74</v>
      </c>
      <c r="AB143" t="s">
        <v>74</v>
      </c>
      <c r="AC143" t="s">
        <v>74</v>
      </c>
      <c r="AD143" t="s">
        <v>74</v>
      </c>
      <c r="AE143" t="s">
        <v>74</v>
      </c>
      <c r="AF143" t="s">
        <v>74</v>
      </c>
      <c r="AG143">
        <v>23</v>
      </c>
      <c r="AH143">
        <v>52</v>
      </c>
      <c r="AI143">
        <v>61</v>
      </c>
      <c r="AJ143">
        <v>0</v>
      </c>
      <c r="AK143">
        <v>3</v>
      </c>
      <c r="AL143" t="s">
        <v>527</v>
      </c>
      <c r="AM143" t="s">
        <v>528</v>
      </c>
      <c r="AN143" t="s">
        <v>529</v>
      </c>
      <c r="AO143" t="s">
        <v>1877</v>
      </c>
      <c r="AP143" t="s">
        <v>1878</v>
      </c>
      <c r="AQ143" t="s">
        <v>74</v>
      </c>
      <c r="AR143" t="s">
        <v>1879</v>
      </c>
      <c r="AS143" t="s">
        <v>1880</v>
      </c>
      <c r="AT143" t="s">
        <v>2448</v>
      </c>
      <c r="AU143">
        <v>2005</v>
      </c>
      <c r="AV143">
        <v>110</v>
      </c>
      <c r="AW143" t="s">
        <v>2459</v>
      </c>
      <c r="AX143" t="s">
        <v>74</v>
      </c>
      <c r="AY143" t="s">
        <v>74</v>
      </c>
      <c r="AZ143" t="s">
        <v>74</v>
      </c>
      <c r="BA143" t="s">
        <v>74</v>
      </c>
      <c r="BB143" t="s">
        <v>74</v>
      </c>
      <c r="BC143" t="s">
        <v>74</v>
      </c>
      <c r="BD143" t="s">
        <v>2460</v>
      </c>
      <c r="BE143" t="s">
        <v>2461</v>
      </c>
      <c r="BF143" t="str">
        <f>HYPERLINK("http://dx.doi.org/10.1029/2004JD005469","http://dx.doi.org/10.1029/2004JD005469")</f>
        <v>http://dx.doi.org/10.1029/2004JD005469</v>
      </c>
      <c r="BG143" t="s">
        <v>74</v>
      </c>
      <c r="BH143" t="s">
        <v>74</v>
      </c>
      <c r="BI143">
        <v>14</v>
      </c>
      <c r="BJ143" t="s">
        <v>401</v>
      </c>
      <c r="BK143" t="s">
        <v>95</v>
      </c>
      <c r="BL143" t="s">
        <v>401</v>
      </c>
      <c r="BM143" t="s">
        <v>2462</v>
      </c>
      <c r="BN143" t="s">
        <v>74</v>
      </c>
      <c r="BO143" t="s">
        <v>539</v>
      </c>
      <c r="BP143" t="s">
        <v>74</v>
      </c>
      <c r="BQ143" t="s">
        <v>74</v>
      </c>
      <c r="BR143" t="s">
        <v>97</v>
      </c>
      <c r="BS143" t="s">
        <v>2463</v>
      </c>
      <c r="BT143" t="str">
        <f>HYPERLINK("https%3A%2F%2Fwww.webofscience.com%2Fwos%2Fwoscc%2Ffull-record%2FWOS:000229775100003","View Full Record in Web of Science")</f>
        <v>View Full Record in Web of Science</v>
      </c>
    </row>
    <row r="144" spans="1:72" x14ac:dyDescent="0.15">
      <c r="A144" t="s">
        <v>72</v>
      </c>
      <c r="B144" t="s">
        <v>2464</v>
      </c>
      <c r="C144" t="s">
        <v>74</v>
      </c>
      <c r="D144" t="s">
        <v>74</v>
      </c>
      <c r="E144" t="s">
        <v>74</v>
      </c>
      <c r="F144" t="s">
        <v>2464</v>
      </c>
      <c r="G144" t="s">
        <v>74</v>
      </c>
      <c r="H144" t="s">
        <v>74</v>
      </c>
      <c r="I144" t="s">
        <v>2465</v>
      </c>
      <c r="J144" t="s">
        <v>637</v>
      </c>
      <c r="K144" t="s">
        <v>74</v>
      </c>
      <c r="L144" t="s">
        <v>74</v>
      </c>
      <c r="M144" t="s">
        <v>77</v>
      </c>
      <c r="N144" t="s">
        <v>78</v>
      </c>
      <c r="O144" t="s">
        <v>74</v>
      </c>
      <c r="P144" t="s">
        <v>74</v>
      </c>
      <c r="Q144" t="s">
        <v>74</v>
      </c>
      <c r="R144" t="s">
        <v>74</v>
      </c>
      <c r="S144" t="s">
        <v>74</v>
      </c>
      <c r="T144" t="s">
        <v>74</v>
      </c>
      <c r="U144" t="s">
        <v>2466</v>
      </c>
      <c r="V144" t="s">
        <v>2467</v>
      </c>
      <c r="W144" t="s">
        <v>2468</v>
      </c>
      <c r="X144" t="s">
        <v>2469</v>
      </c>
      <c r="Y144" t="s">
        <v>2470</v>
      </c>
      <c r="Z144" t="s">
        <v>2471</v>
      </c>
      <c r="AA144" t="s">
        <v>2472</v>
      </c>
      <c r="AB144" t="s">
        <v>2473</v>
      </c>
      <c r="AC144" t="s">
        <v>74</v>
      </c>
      <c r="AD144" t="s">
        <v>74</v>
      </c>
      <c r="AE144" t="s">
        <v>74</v>
      </c>
      <c r="AF144" t="s">
        <v>74</v>
      </c>
      <c r="AG144">
        <v>98</v>
      </c>
      <c r="AH144">
        <v>52</v>
      </c>
      <c r="AI144">
        <v>55</v>
      </c>
      <c r="AJ144">
        <v>0</v>
      </c>
      <c r="AK144">
        <v>14</v>
      </c>
      <c r="AL144" t="s">
        <v>527</v>
      </c>
      <c r="AM144" t="s">
        <v>528</v>
      </c>
      <c r="AN144" t="s">
        <v>529</v>
      </c>
      <c r="AO144" t="s">
        <v>644</v>
      </c>
      <c r="AP144" t="s">
        <v>645</v>
      </c>
      <c r="AQ144" t="s">
        <v>74</v>
      </c>
      <c r="AR144" t="s">
        <v>637</v>
      </c>
      <c r="AS144" t="s">
        <v>646</v>
      </c>
      <c r="AT144" t="s">
        <v>2474</v>
      </c>
      <c r="AU144">
        <v>2005</v>
      </c>
      <c r="AV144">
        <v>20</v>
      </c>
      <c r="AW144">
        <v>2</v>
      </c>
      <c r="AX144" t="s">
        <v>74</v>
      </c>
      <c r="AY144" t="s">
        <v>74</v>
      </c>
      <c r="AZ144" t="s">
        <v>74</v>
      </c>
      <c r="BA144" t="s">
        <v>74</v>
      </c>
      <c r="BB144" t="s">
        <v>74</v>
      </c>
      <c r="BC144" t="s">
        <v>74</v>
      </c>
      <c r="BD144" t="s">
        <v>2475</v>
      </c>
      <c r="BE144" t="s">
        <v>2476</v>
      </c>
      <c r="BF144" t="str">
        <f>HYPERLINK("http://dx.doi.org/10.1029/2004PA001044","http://dx.doi.org/10.1029/2004PA001044")</f>
        <v>http://dx.doi.org/10.1029/2004PA001044</v>
      </c>
      <c r="BG144" t="s">
        <v>74</v>
      </c>
      <c r="BH144" t="s">
        <v>74</v>
      </c>
      <c r="BI144">
        <v>14</v>
      </c>
      <c r="BJ144" t="s">
        <v>649</v>
      </c>
      <c r="BK144" t="s">
        <v>95</v>
      </c>
      <c r="BL144" t="s">
        <v>650</v>
      </c>
      <c r="BM144" t="s">
        <v>2477</v>
      </c>
      <c r="BN144" t="s">
        <v>74</v>
      </c>
      <c r="BO144" t="s">
        <v>539</v>
      </c>
      <c r="BP144" t="s">
        <v>74</v>
      </c>
      <c r="BQ144" t="s">
        <v>74</v>
      </c>
      <c r="BR144" t="s">
        <v>97</v>
      </c>
      <c r="BS144" t="s">
        <v>2478</v>
      </c>
      <c r="BT144" t="str">
        <f>HYPERLINK("https%3A%2F%2Fwww.webofscience.com%2Fwos%2Fwoscc%2Ffull-record%2FWOS:000229777700001","View Full Record in Web of Science")</f>
        <v>View Full Record in Web of Science</v>
      </c>
    </row>
    <row r="145" spans="1:72" x14ac:dyDescent="0.15">
      <c r="A145" t="s">
        <v>72</v>
      </c>
      <c r="B145" t="s">
        <v>2479</v>
      </c>
      <c r="C145" t="s">
        <v>74</v>
      </c>
      <c r="D145" t="s">
        <v>74</v>
      </c>
      <c r="E145" t="s">
        <v>74</v>
      </c>
      <c r="F145" t="s">
        <v>2479</v>
      </c>
      <c r="G145" t="s">
        <v>74</v>
      </c>
      <c r="H145" t="s">
        <v>74</v>
      </c>
      <c r="I145" t="s">
        <v>2480</v>
      </c>
      <c r="J145" t="s">
        <v>2481</v>
      </c>
      <c r="K145" t="s">
        <v>74</v>
      </c>
      <c r="L145" t="s">
        <v>74</v>
      </c>
      <c r="M145" t="s">
        <v>77</v>
      </c>
      <c r="N145" t="s">
        <v>78</v>
      </c>
      <c r="O145" t="s">
        <v>74</v>
      </c>
      <c r="P145" t="s">
        <v>74</v>
      </c>
      <c r="Q145" t="s">
        <v>74</v>
      </c>
      <c r="R145" t="s">
        <v>74</v>
      </c>
      <c r="S145" t="s">
        <v>74</v>
      </c>
      <c r="T145" t="s">
        <v>74</v>
      </c>
      <c r="U145" t="s">
        <v>74</v>
      </c>
      <c r="V145" t="s">
        <v>2482</v>
      </c>
      <c r="W145" t="s">
        <v>74</v>
      </c>
      <c r="X145" t="s">
        <v>74</v>
      </c>
      <c r="Y145" t="s">
        <v>74</v>
      </c>
      <c r="Z145" t="s">
        <v>74</v>
      </c>
      <c r="AA145" t="s">
        <v>74</v>
      </c>
      <c r="AB145" t="s">
        <v>74</v>
      </c>
      <c r="AC145" t="s">
        <v>74</v>
      </c>
      <c r="AD145" t="s">
        <v>74</v>
      </c>
      <c r="AE145" t="s">
        <v>74</v>
      </c>
      <c r="AF145" t="s">
        <v>74</v>
      </c>
      <c r="AG145">
        <v>0</v>
      </c>
      <c r="AH145">
        <v>0</v>
      </c>
      <c r="AI145">
        <v>0</v>
      </c>
      <c r="AJ145">
        <v>0</v>
      </c>
      <c r="AK145">
        <v>0</v>
      </c>
      <c r="AL145" t="s">
        <v>2483</v>
      </c>
      <c r="AM145" t="s">
        <v>2484</v>
      </c>
      <c r="AN145" t="s">
        <v>2485</v>
      </c>
      <c r="AO145" t="s">
        <v>2486</v>
      </c>
      <c r="AP145" t="s">
        <v>74</v>
      </c>
      <c r="AQ145" t="s">
        <v>74</v>
      </c>
      <c r="AR145" t="s">
        <v>2487</v>
      </c>
      <c r="AS145" t="s">
        <v>2488</v>
      </c>
      <c r="AT145" t="s">
        <v>2489</v>
      </c>
      <c r="AU145">
        <v>2005</v>
      </c>
      <c r="AV145">
        <v>186</v>
      </c>
      <c r="AW145">
        <v>2500</v>
      </c>
      <c r="AX145" t="s">
        <v>74</v>
      </c>
      <c r="AY145" t="s">
        <v>74</v>
      </c>
      <c r="AZ145" t="s">
        <v>74</v>
      </c>
      <c r="BA145" t="s">
        <v>74</v>
      </c>
      <c r="BB145">
        <v>36</v>
      </c>
      <c r="BC145">
        <v>37</v>
      </c>
      <c r="BD145" t="s">
        <v>74</v>
      </c>
      <c r="BE145" t="s">
        <v>74</v>
      </c>
      <c r="BF145" t="s">
        <v>74</v>
      </c>
      <c r="BG145" t="s">
        <v>74</v>
      </c>
      <c r="BH145" t="s">
        <v>74</v>
      </c>
      <c r="BI145">
        <v>2</v>
      </c>
      <c r="BJ145" t="s">
        <v>682</v>
      </c>
      <c r="BK145" t="s">
        <v>95</v>
      </c>
      <c r="BL145" t="s">
        <v>683</v>
      </c>
      <c r="BM145" t="s">
        <v>2490</v>
      </c>
      <c r="BN145" t="s">
        <v>74</v>
      </c>
      <c r="BO145" t="s">
        <v>74</v>
      </c>
      <c r="BP145" t="s">
        <v>74</v>
      </c>
      <c r="BQ145" t="s">
        <v>74</v>
      </c>
      <c r="BR145" t="s">
        <v>97</v>
      </c>
      <c r="BS145" t="s">
        <v>2491</v>
      </c>
      <c r="BT145" t="str">
        <f>HYPERLINK("https%3A%2F%2Fwww.webofscience.com%2Fwos%2Fwoscc%2Ffull-record%2FWOS:000229296300037","View Full Record in Web of Science")</f>
        <v>View Full Record in Web of Science</v>
      </c>
    </row>
    <row r="146" spans="1:72" x14ac:dyDescent="0.15">
      <c r="A146" t="s">
        <v>72</v>
      </c>
      <c r="B146" t="s">
        <v>2492</v>
      </c>
      <c r="C146" t="s">
        <v>74</v>
      </c>
      <c r="D146" t="s">
        <v>74</v>
      </c>
      <c r="E146" t="s">
        <v>74</v>
      </c>
      <c r="F146" t="s">
        <v>2492</v>
      </c>
      <c r="G146" t="s">
        <v>74</v>
      </c>
      <c r="H146" t="s">
        <v>74</v>
      </c>
      <c r="I146" t="s">
        <v>2493</v>
      </c>
      <c r="J146" t="s">
        <v>2494</v>
      </c>
      <c r="K146" t="s">
        <v>74</v>
      </c>
      <c r="L146" t="s">
        <v>74</v>
      </c>
      <c r="M146" t="s">
        <v>77</v>
      </c>
      <c r="N146" t="s">
        <v>78</v>
      </c>
      <c r="O146" t="s">
        <v>74</v>
      </c>
      <c r="P146" t="s">
        <v>74</v>
      </c>
      <c r="Q146" t="s">
        <v>74</v>
      </c>
      <c r="R146" t="s">
        <v>74</v>
      </c>
      <c r="S146" t="s">
        <v>74</v>
      </c>
      <c r="T146" t="s">
        <v>2495</v>
      </c>
      <c r="U146" t="s">
        <v>2496</v>
      </c>
      <c r="V146" t="s">
        <v>2497</v>
      </c>
      <c r="W146" t="s">
        <v>2498</v>
      </c>
      <c r="X146" t="s">
        <v>2499</v>
      </c>
      <c r="Y146" t="s">
        <v>2500</v>
      </c>
      <c r="Z146" t="s">
        <v>2501</v>
      </c>
      <c r="AA146" t="s">
        <v>74</v>
      </c>
      <c r="AB146" t="s">
        <v>2502</v>
      </c>
      <c r="AC146" t="s">
        <v>74</v>
      </c>
      <c r="AD146" t="s">
        <v>74</v>
      </c>
      <c r="AE146" t="s">
        <v>74</v>
      </c>
      <c r="AF146" t="s">
        <v>74</v>
      </c>
      <c r="AG146">
        <v>64</v>
      </c>
      <c r="AH146">
        <v>30</v>
      </c>
      <c r="AI146">
        <v>32</v>
      </c>
      <c r="AJ146">
        <v>0</v>
      </c>
      <c r="AK146">
        <v>3</v>
      </c>
      <c r="AL146" t="s">
        <v>2503</v>
      </c>
      <c r="AM146" t="s">
        <v>1911</v>
      </c>
      <c r="AN146" t="s">
        <v>2504</v>
      </c>
      <c r="AO146" t="s">
        <v>2505</v>
      </c>
      <c r="AP146" t="s">
        <v>2506</v>
      </c>
      <c r="AQ146" t="s">
        <v>74</v>
      </c>
      <c r="AR146" t="s">
        <v>2507</v>
      </c>
      <c r="AS146" t="s">
        <v>2508</v>
      </c>
      <c r="AT146" t="s">
        <v>2509</v>
      </c>
      <c r="AU146">
        <v>2005</v>
      </c>
      <c r="AV146">
        <v>625</v>
      </c>
      <c r="AW146">
        <v>1</v>
      </c>
      <c r="AX146">
        <v>1</v>
      </c>
      <c r="AY146" t="s">
        <v>74</v>
      </c>
      <c r="AZ146" t="s">
        <v>74</v>
      </c>
      <c r="BA146" t="s">
        <v>74</v>
      </c>
      <c r="BB146">
        <v>194</v>
      </c>
      <c r="BC146">
        <v>209</v>
      </c>
      <c r="BD146" t="s">
        <v>74</v>
      </c>
      <c r="BE146" t="s">
        <v>2510</v>
      </c>
      <c r="BF146" t="str">
        <f>HYPERLINK("http://dx.doi.org/10.1086/426096","http://dx.doi.org/10.1086/426096")</f>
        <v>http://dx.doi.org/10.1086/426096</v>
      </c>
      <c r="BG146" t="s">
        <v>74</v>
      </c>
      <c r="BH146" t="s">
        <v>74</v>
      </c>
      <c r="BI146">
        <v>16</v>
      </c>
      <c r="BJ146" t="s">
        <v>853</v>
      </c>
      <c r="BK146" t="s">
        <v>95</v>
      </c>
      <c r="BL146" t="s">
        <v>853</v>
      </c>
      <c r="BM146" t="s">
        <v>2511</v>
      </c>
      <c r="BN146" t="s">
        <v>74</v>
      </c>
      <c r="BO146" t="s">
        <v>539</v>
      </c>
      <c r="BP146" t="s">
        <v>74</v>
      </c>
      <c r="BQ146" t="s">
        <v>74</v>
      </c>
      <c r="BR146" t="s">
        <v>97</v>
      </c>
      <c r="BS146" t="s">
        <v>2512</v>
      </c>
      <c r="BT146" t="str">
        <f>HYPERLINK("https%3A%2F%2Fwww.webofscience.com%2Fwos%2Fwoscc%2Ffull-record%2FWOS:000229046600018","View Full Record in Web of Science")</f>
        <v>View Full Record in Web of Science</v>
      </c>
    </row>
    <row r="147" spans="1:72" x14ac:dyDescent="0.15">
      <c r="A147" t="s">
        <v>72</v>
      </c>
      <c r="B147" t="s">
        <v>2513</v>
      </c>
      <c r="C147" t="s">
        <v>74</v>
      </c>
      <c r="D147" t="s">
        <v>74</v>
      </c>
      <c r="E147" t="s">
        <v>74</v>
      </c>
      <c r="F147" t="s">
        <v>2513</v>
      </c>
      <c r="G147" t="s">
        <v>74</v>
      </c>
      <c r="H147" t="s">
        <v>74</v>
      </c>
      <c r="I147" t="s">
        <v>2514</v>
      </c>
      <c r="J147" t="s">
        <v>2515</v>
      </c>
      <c r="K147" t="s">
        <v>74</v>
      </c>
      <c r="L147" t="s">
        <v>74</v>
      </c>
      <c r="M147" t="s">
        <v>77</v>
      </c>
      <c r="N147" t="s">
        <v>78</v>
      </c>
      <c r="O147" t="s">
        <v>74</v>
      </c>
      <c r="P147" t="s">
        <v>74</v>
      </c>
      <c r="Q147" t="s">
        <v>74</v>
      </c>
      <c r="R147" t="s">
        <v>74</v>
      </c>
      <c r="S147" t="s">
        <v>74</v>
      </c>
      <c r="T147" t="s">
        <v>74</v>
      </c>
      <c r="U147" t="s">
        <v>2516</v>
      </c>
      <c r="V147" t="s">
        <v>2517</v>
      </c>
      <c r="W147" t="s">
        <v>2518</v>
      </c>
      <c r="X147" t="s">
        <v>2519</v>
      </c>
      <c r="Y147" t="s">
        <v>2520</v>
      </c>
      <c r="Z147" t="s">
        <v>2521</v>
      </c>
      <c r="AA147" t="s">
        <v>2522</v>
      </c>
      <c r="AB147" t="s">
        <v>2523</v>
      </c>
      <c r="AC147" t="s">
        <v>74</v>
      </c>
      <c r="AD147" t="s">
        <v>74</v>
      </c>
      <c r="AE147" t="s">
        <v>74</v>
      </c>
      <c r="AF147" t="s">
        <v>74</v>
      </c>
      <c r="AG147">
        <v>28</v>
      </c>
      <c r="AH147">
        <v>9</v>
      </c>
      <c r="AI147">
        <v>10</v>
      </c>
      <c r="AJ147">
        <v>1</v>
      </c>
      <c r="AK147">
        <v>4</v>
      </c>
      <c r="AL147" t="s">
        <v>394</v>
      </c>
      <c r="AM147" t="s">
        <v>395</v>
      </c>
      <c r="AN147" t="s">
        <v>396</v>
      </c>
      <c r="AO147" t="s">
        <v>2524</v>
      </c>
      <c r="AP147" t="s">
        <v>2525</v>
      </c>
      <c r="AQ147" t="s">
        <v>74</v>
      </c>
      <c r="AR147" t="s">
        <v>2526</v>
      </c>
      <c r="AS147" t="s">
        <v>2527</v>
      </c>
      <c r="AT147" t="s">
        <v>2509</v>
      </c>
      <c r="AU147">
        <v>2005</v>
      </c>
      <c r="AV147">
        <v>26</v>
      </c>
      <c r="AW147">
        <v>10</v>
      </c>
      <c r="AX147" t="s">
        <v>74</v>
      </c>
      <c r="AY147" t="s">
        <v>74</v>
      </c>
      <c r="AZ147" t="s">
        <v>74</v>
      </c>
      <c r="BA147" t="s">
        <v>74</v>
      </c>
      <c r="BB147">
        <v>2035</v>
      </c>
      <c r="BC147">
        <v>2044</v>
      </c>
      <c r="BD147" t="s">
        <v>74</v>
      </c>
      <c r="BE147" t="s">
        <v>2528</v>
      </c>
      <c r="BF147" t="str">
        <f>HYPERLINK("http://dx.doi.org/10.1080/01431160500075733","http://dx.doi.org/10.1080/01431160500075733")</f>
        <v>http://dx.doi.org/10.1080/01431160500075733</v>
      </c>
      <c r="BG147" t="s">
        <v>74</v>
      </c>
      <c r="BH147" t="s">
        <v>74</v>
      </c>
      <c r="BI147">
        <v>10</v>
      </c>
      <c r="BJ147" t="s">
        <v>2529</v>
      </c>
      <c r="BK147" t="s">
        <v>95</v>
      </c>
      <c r="BL147" t="s">
        <v>2529</v>
      </c>
      <c r="BM147" t="s">
        <v>2530</v>
      </c>
      <c r="BN147" t="s">
        <v>74</v>
      </c>
      <c r="BO147" t="s">
        <v>74</v>
      </c>
      <c r="BP147" t="s">
        <v>74</v>
      </c>
      <c r="BQ147" t="s">
        <v>74</v>
      </c>
      <c r="BR147" t="s">
        <v>97</v>
      </c>
      <c r="BS147" t="s">
        <v>2531</v>
      </c>
      <c r="BT147" t="str">
        <f>HYPERLINK("https%3A%2F%2Fwww.webofscience.com%2Fwos%2Fwoscc%2Ffull-record%2FWOS:000230647000002","View Full Record in Web of Science")</f>
        <v>View Full Record in Web of Science</v>
      </c>
    </row>
    <row r="148" spans="1:72" x14ac:dyDescent="0.15">
      <c r="A148" t="s">
        <v>72</v>
      </c>
      <c r="B148" t="s">
        <v>2532</v>
      </c>
      <c r="C148" t="s">
        <v>74</v>
      </c>
      <c r="D148" t="s">
        <v>74</v>
      </c>
      <c r="E148" t="s">
        <v>74</v>
      </c>
      <c r="F148" t="s">
        <v>2532</v>
      </c>
      <c r="G148" t="s">
        <v>74</v>
      </c>
      <c r="H148" t="s">
        <v>74</v>
      </c>
      <c r="I148" t="s">
        <v>2533</v>
      </c>
      <c r="J148" t="s">
        <v>1016</v>
      </c>
      <c r="K148" t="s">
        <v>74</v>
      </c>
      <c r="L148" t="s">
        <v>74</v>
      </c>
      <c r="M148" t="s">
        <v>77</v>
      </c>
      <c r="N148" t="s">
        <v>78</v>
      </c>
      <c r="O148" t="s">
        <v>74</v>
      </c>
      <c r="P148" t="s">
        <v>74</v>
      </c>
      <c r="Q148" t="s">
        <v>74</v>
      </c>
      <c r="R148" t="s">
        <v>74</v>
      </c>
      <c r="S148" t="s">
        <v>74</v>
      </c>
      <c r="T148" t="s">
        <v>74</v>
      </c>
      <c r="U148" t="s">
        <v>2534</v>
      </c>
      <c r="V148" t="s">
        <v>2535</v>
      </c>
      <c r="W148" t="s">
        <v>2536</v>
      </c>
      <c r="X148" t="s">
        <v>2537</v>
      </c>
      <c r="Y148" t="s">
        <v>2538</v>
      </c>
      <c r="Z148" t="s">
        <v>2539</v>
      </c>
      <c r="AA148" t="s">
        <v>2540</v>
      </c>
      <c r="AB148" t="s">
        <v>2541</v>
      </c>
      <c r="AC148" t="s">
        <v>74</v>
      </c>
      <c r="AD148" t="s">
        <v>74</v>
      </c>
      <c r="AE148" t="s">
        <v>74</v>
      </c>
      <c r="AF148" t="s">
        <v>74</v>
      </c>
      <c r="AG148">
        <v>35</v>
      </c>
      <c r="AH148">
        <v>31</v>
      </c>
      <c r="AI148">
        <v>33</v>
      </c>
      <c r="AJ148">
        <v>1</v>
      </c>
      <c r="AK148">
        <v>7</v>
      </c>
      <c r="AL148" t="s">
        <v>527</v>
      </c>
      <c r="AM148" t="s">
        <v>528</v>
      </c>
      <c r="AN148" t="s">
        <v>529</v>
      </c>
      <c r="AO148" t="s">
        <v>1024</v>
      </c>
      <c r="AP148" t="s">
        <v>1025</v>
      </c>
      <c r="AQ148" t="s">
        <v>74</v>
      </c>
      <c r="AR148" t="s">
        <v>1026</v>
      </c>
      <c r="AS148" t="s">
        <v>1027</v>
      </c>
      <c r="AT148" t="s">
        <v>2542</v>
      </c>
      <c r="AU148">
        <v>2005</v>
      </c>
      <c r="AV148">
        <v>110</v>
      </c>
      <c r="AW148" t="s">
        <v>2543</v>
      </c>
      <c r="AX148" t="s">
        <v>74</v>
      </c>
      <c r="AY148" t="s">
        <v>74</v>
      </c>
      <c r="AZ148" t="s">
        <v>74</v>
      </c>
      <c r="BA148" t="s">
        <v>74</v>
      </c>
      <c r="BB148" t="s">
        <v>74</v>
      </c>
      <c r="BC148" t="s">
        <v>74</v>
      </c>
      <c r="BD148" t="s">
        <v>2544</v>
      </c>
      <c r="BE148" t="s">
        <v>2545</v>
      </c>
      <c r="BF148" t="str">
        <f>HYPERLINK("http://dx.doi.org/10.1029/2003JB002728","http://dx.doi.org/10.1029/2003JB002728")</f>
        <v>http://dx.doi.org/10.1029/2003JB002728</v>
      </c>
      <c r="BG148" t="s">
        <v>74</v>
      </c>
      <c r="BH148" t="s">
        <v>74</v>
      </c>
      <c r="BI148">
        <v>13</v>
      </c>
      <c r="BJ148" t="s">
        <v>381</v>
      </c>
      <c r="BK148" t="s">
        <v>95</v>
      </c>
      <c r="BL148" t="s">
        <v>381</v>
      </c>
      <c r="BM148" t="s">
        <v>2546</v>
      </c>
      <c r="BN148" t="s">
        <v>74</v>
      </c>
      <c r="BO148" t="s">
        <v>539</v>
      </c>
      <c r="BP148" t="s">
        <v>74</v>
      </c>
      <c r="BQ148" t="s">
        <v>74</v>
      </c>
      <c r="BR148" t="s">
        <v>97</v>
      </c>
      <c r="BS148" t="s">
        <v>2547</v>
      </c>
      <c r="BT148" t="str">
        <f>HYPERLINK("https%3A%2F%2Fwww.webofscience.com%2Fwos%2Fwoscc%2Ffull-record%2FWOS:000229586000001","View Full Record in Web of Science")</f>
        <v>View Full Record in Web of Science</v>
      </c>
    </row>
    <row r="149" spans="1:72" x14ac:dyDescent="0.15">
      <c r="A149" t="s">
        <v>72</v>
      </c>
      <c r="B149" t="s">
        <v>2548</v>
      </c>
      <c r="C149" t="s">
        <v>74</v>
      </c>
      <c r="D149" t="s">
        <v>74</v>
      </c>
      <c r="E149" t="s">
        <v>74</v>
      </c>
      <c r="F149" t="s">
        <v>2548</v>
      </c>
      <c r="G149" t="s">
        <v>74</v>
      </c>
      <c r="H149" t="s">
        <v>74</v>
      </c>
      <c r="I149" t="s">
        <v>2549</v>
      </c>
      <c r="J149" t="s">
        <v>2550</v>
      </c>
      <c r="K149" t="s">
        <v>74</v>
      </c>
      <c r="L149" t="s">
        <v>74</v>
      </c>
      <c r="M149" t="s">
        <v>77</v>
      </c>
      <c r="N149" t="s">
        <v>78</v>
      </c>
      <c r="O149" t="s">
        <v>74</v>
      </c>
      <c r="P149" t="s">
        <v>74</v>
      </c>
      <c r="Q149" t="s">
        <v>74</v>
      </c>
      <c r="R149" t="s">
        <v>74</v>
      </c>
      <c r="S149" t="s">
        <v>74</v>
      </c>
      <c r="T149" t="s">
        <v>2551</v>
      </c>
      <c r="U149" t="s">
        <v>2552</v>
      </c>
      <c r="V149" t="s">
        <v>2553</v>
      </c>
      <c r="W149" t="s">
        <v>2554</v>
      </c>
      <c r="X149" t="s">
        <v>2555</v>
      </c>
      <c r="Y149" t="s">
        <v>2556</v>
      </c>
      <c r="Z149" t="s">
        <v>2557</v>
      </c>
      <c r="AA149" t="s">
        <v>74</v>
      </c>
      <c r="AB149" t="s">
        <v>74</v>
      </c>
      <c r="AC149" t="s">
        <v>74</v>
      </c>
      <c r="AD149" t="s">
        <v>74</v>
      </c>
      <c r="AE149" t="s">
        <v>74</v>
      </c>
      <c r="AF149" t="s">
        <v>74</v>
      </c>
      <c r="AG149">
        <v>31</v>
      </c>
      <c r="AH149">
        <v>15</v>
      </c>
      <c r="AI149">
        <v>20</v>
      </c>
      <c r="AJ149">
        <v>0</v>
      </c>
      <c r="AK149">
        <v>10</v>
      </c>
      <c r="AL149" t="s">
        <v>2332</v>
      </c>
      <c r="AM149" t="s">
        <v>134</v>
      </c>
      <c r="AN149" t="s">
        <v>2333</v>
      </c>
      <c r="AO149" t="s">
        <v>2558</v>
      </c>
      <c r="AP149" t="s">
        <v>2559</v>
      </c>
      <c r="AQ149" t="s">
        <v>74</v>
      </c>
      <c r="AR149" t="s">
        <v>2560</v>
      </c>
      <c r="AS149" t="s">
        <v>2561</v>
      </c>
      <c r="AT149" t="s">
        <v>2562</v>
      </c>
      <c r="AU149">
        <v>2005</v>
      </c>
      <c r="AV149">
        <v>36</v>
      </c>
      <c r="AW149">
        <v>7</v>
      </c>
      <c r="AX149" t="s">
        <v>74</v>
      </c>
      <c r="AY149" t="s">
        <v>74</v>
      </c>
      <c r="AZ149" t="s">
        <v>74</v>
      </c>
      <c r="BA149" t="s">
        <v>74</v>
      </c>
      <c r="BB149">
        <v>855</v>
      </c>
      <c r="BC149">
        <v>861</v>
      </c>
      <c r="BD149" t="s">
        <v>74</v>
      </c>
      <c r="BE149" t="s">
        <v>2563</v>
      </c>
      <c r="BF149" t="str">
        <f>HYPERLINK("http://dx.doi.org/10.1016/j.enzmictec.2004.11.017","http://dx.doi.org/10.1016/j.enzmictec.2004.11.017")</f>
        <v>http://dx.doi.org/10.1016/j.enzmictec.2004.11.017</v>
      </c>
      <c r="BG149" t="s">
        <v>74</v>
      </c>
      <c r="BH149" t="s">
        <v>74</v>
      </c>
      <c r="BI149">
        <v>7</v>
      </c>
      <c r="BJ149" t="s">
        <v>2564</v>
      </c>
      <c r="BK149" t="s">
        <v>95</v>
      </c>
      <c r="BL149" t="s">
        <v>2564</v>
      </c>
      <c r="BM149" t="s">
        <v>2565</v>
      </c>
      <c r="BN149" t="s">
        <v>74</v>
      </c>
      <c r="BO149" t="s">
        <v>74</v>
      </c>
      <c r="BP149" t="s">
        <v>74</v>
      </c>
      <c r="BQ149" t="s">
        <v>74</v>
      </c>
      <c r="BR149" t="s">
        <v>97</v>
      </c>
      <c r="BS149" t="s">
        <v>2566</v>
      </c>
      <c r="BT149" t="str">
        <f>HYPERLINK("https%3A%2F%2Fwww.webofscience.com%2Fwos%2Fwoscc%2Ffull-record%2FWOS:000229169400002","View Full Record in Web of Science")</f>
        <v>View Full Record in Web of Science</v>
      </c>
    </row>
    <row r="150" spans="1:72" x14ac:dyDescent="0.15">
      <c r="A150" t="s">
        <v>72</v>
      </c>
      <c r="B150" t="s">
        <v>2567</v>
      </c>
      <c r="C150" t="s">
        <v>74</v>
      </c>
      <c r="D150" t="s">
        <v>74</v>
      </c>
      <c r="E150" t="s">
        <v>74</v>
      </c>
      <c r="F150" t="s">
        <v>2567</v>
      </c>
      <c r="G150" t="s">
        <v>74</v>
      </c>
      <c r="H150" t="s">
        <v>74</v>
      </c>
      <c r="I150" t="s">
        <v>2568</v>
      </c>
      <c r="J150" t="s">
        <v>2569</v>
      </c>
      <c r="K150" t="s">
        <v>74</v>
      </c>
      <c r="L150" t="s">
        <v>74</v>
      </c>
      <c r="M150" t="s">
        <v>77</v>
      </c>
      <c r="N150" t="s">
        <v>78</v>
      </c>
      <c r="O150" t="s">
        <v>74</v>
      </c>
      <c r="P150" t="s">
        <v>74</v>
      </c>
      <c r="Q150" t="s">
        <v>74</v>
      </c>
      <c r="R150" t="s">
        <v>74</v>
      </c>
      <c r="S150" t="s">
        <v>74</v>
      </c>
      <c r="T150" t="s">
        <v>74</v>
      </c>
      <c r="U150" t="s">
        <v>2570</v>
      </c>
      <c r="V150" t="s">
        <v>2571</v>
      </c>
      <c r="W150" t="s">
        <v>2572</v>
      </c>
      <c r="X150" t="s">
        <v>2573</v>
      </c>
      <c r="Y150" t="s">
        <v>2574</v>
      </c>
      <c r="Z150" t="s">
        <v>2575</v>
      </c>
      <c r="AA150" t="s">
        <v>2576</v>
      </c>
      <c r="AB150" t="s">
        <v>2577</v>
      </c>
      <c r="AC150" t="s">
        <v>74</v>
      </c>
      <c r="AD150" t="s">
        <v>74</v>
      </c>
      <c r="AE150" t="s">
        <v>74</v>
      </c>
      <c r="AF150" t="s">
        <v>74</v>
      </c>
      <c r="AG150">
        <v>42</v>
      </c>
      <c r="AH150">
        <v>64</v>
      </c>
      <c r="AI150">
        <v>67</v>
      </c>
      <c r="AJ150">
        <v>1</v>
      </c>
      <c r="AK150">
        <v>23</v>
      </c>
      <c r="AL150" t="s">
        <v>255</v>
      </c>
      <c r="AM150" t="s">
        <v>256</v>
      </c>
      <c r="AN150" t="s">
        <v>257</v>
      </c>
      <c r="AO150" t="s">
        <v>2578</v>
      </c>
      <c r="AP150" t="s">
        <v>74</v>
      </c>
      <c r="AQ150" t="s">
        <v>74</v>
      </c>
      <c r="AR150" t="s">
        <v>2579</v>
      </c>
      <c r="AS150" t="s">
        <v>2580</v>
      </c>
      <c r="AT150" t="s">
        <v>2581</v>
      </c>
      <c r="AU150">
        <v>2005</v>
      </c>
      <c r="AV150">
        <v>69</v>
      </c>
      <c r="AW150">
        <v>10</v>
      </c>
      <c r="AX150" t="s">
        <v>74</v>
      </c>
      <c r="AY150" t="s">
        <v>74</v>
      </c>
      <c r="AZ150" t="s">
        <v>74</v>
      </c>
      <c r="BA150" t="s">
        <v>74</v>
      </c>
      <c r="BB150">
        <v>2647</v>
      </c>
      <c r="BC150">
        <v>2662</v>
      </c>
      <c r="BD150" t="s">
        <v>74</v>
      </c>
      <c r="BE150" t="s">
        <v>2582</v>
      </c>
      <c r="BF150" t="str">
        <f>HYPERLINK("http://dx.doi.org/10.1016/j.gca.2004.11.027","http://dx.doi.org/10.1016/j.gca.2004.11.027")</f>
        <v>http://dx.doi.org/10.1016/j.gca.2004.11.027</v>
      </c>
      <c r="BG150" t="s">
        <v>74</v>
      </c>
      <c r="BH150" t="s">
        <v>74</v>
      </c>
      <c r="BI150">
        <v>16</v>
      </c>
      <c r="BJ150" t="s">
        <v>381</v>
      </c>
      <c r="BK150" t="s">
        <v>95</v>
      </c>
      <c r="BL150" t="s">
        <v>381</v>
      </c>
      <c r="BM150" t="s">
        <v>2583</v>
      </c>
      <c r="BN150" t="s">
        <v>74</v>
      </c>
      <c r="BO150" t="s">
        <v>74</v>
      </c>
      <c r="BP150" t="s">
        <v>74</v>
      </c>
      <c r="BQ150" t="s">
        <v>74</v>
      </c>
      <c r="BR150" t="s">
        <v>97</v>
      </c>
      <c r="BS150" t="s">
        <v>2584</v>
      </c>
      <c r="BT150" t="str">
        <f>HYPERLINK("https%3A%2F%2Fwww.webofscience.com%2Fwos%2Fwoscc%2Ffull-record%2FWOS:000229347800014","View Full Record in Web of Science")</f>
        <v>View Full Record in Web of Science</v>
      </c>
    </row>
    <row r="151" spans="1:72" x14ac:dyDescent="0.15">
      <c r="A151" t="s">
        <v>72</v>
      </c>
      <c r="B151" t="s">
        <v>2585</v>
      </c>
      <c r="C151" t="s">
        <v>74</v>
      </c>
      <c r="D151" t="s">
        <v>74</v>
      </c>
      <c r="E151" t="s">
        <v>74</v>
      </c>
      <c r="F151" t="s">
        <v>2585</v>
      </c>
      <c r="G151" t="s">
        <v>74</v>
      </c>
      <c r="H151" t="s">
        <v>74</v>
      </c>
      <c r="I151" t="s">
        <v>2586</v>
      </c>
      <c r="J151" t="s">
        <v>893</v>
      </c>
      <c r="K151" t="s">
        <v>74</v>
      </c>
      <c r="L151" t="s">
        <v>74</v>
      </c>
      <c r="M151" t="s">
        <v>77</v>
      </c>
      <c r="N151" t="s">
        <v>78</v>
      </c>
      <c r="O151" t="s">
        <v>74</v>
      </c>
      <c r="P151" t="s">
        <v>74</v>
      </c>
      <c r="Q151" t="s">
        <v>74</v>
      </c>
      <c r="R151" t="s">
        <v>74</v>
      </c>
      <c r="S151" t="s">
        <v>74</v>
      </c>
      <c r="T151" t="s">
        <v>74</v>
      </c>
      <c r="U151" t="s">
        <v>2587</v>
      </c>
      <c r="V151" t="s">
        <v>2588</v>
      </c>
      <c r="W151" t="s">
        <v>2589</v>
      </c>
      <c r="X151" t="s">
        <v>2590</v>
      </c>
      <c r="Y151" t="s">
        <v>2591</v>
      </c>
      <c r="Z151" t="s">
        <v>2592</v>
      </c>
      <c r="AA151" t="s">
        <v>74</v>
      </c>
      <c r="AB151" t="s">
        <v>74</v>
      </c>
      <c r="AC151" t="s">
        <v>74</v>
      </c>
      <c r="AD151" t="s">
        <v>74</v>
      </c>
      <c r="AE151" t="s">
        <v>74</v>
      </c>
      <c r="AF151" t="s">
        <v>74</v>
      </c>
      <c r="AG151">
        <v>48</v>
      </c>
      <c r="AH151">
        <v>73</v>
      </c>
      <c r="AI151">
        <v>83</v>
      </c>
      <c r="AJ151">
        <v>2</v>
      </c>
      <c r="AK151">
        <v>23</v>
      </c>
      <c r="AL151" t="s">
        <v>902</v>
      </c>
      <c r="AM151" t="s">
        <v>903</v>
      </c>
      <c r="AN151" t="s">
        <v>922</v>
      </c>
      <c r="AO151" t="s">
        <v>905</v>
      </c>
      <c r="AP151" t="s">
        <v>74</v>
      </c>
      <c r="AQ151" t="s">
        <v>74</v>
      </c>
      <c r="AR151" t="s">
        <v>907</v>
      </c>
      <c r="AS151" t="s">
        <v>908</v>
      </c>
      <c r="AT151" t="s">
        <v>2581</v>
      </c>
      <c r="AU151">
        <v>2005</v>
      </c>
      <c r="AV151">
        <v>18</v>
      </c>
      <c r="AW151">
        <v>10</v>
      </c>
      <c r="AX151" t="s">
        <v>74</v>
      </c>
      <c r="AY151" t="s">
        <v>74</v>
      </c>
      <c r="AZ151" t="s">
        <v>74</v>
      </c>
      <c r="BA151" t="s">
        <v>74</v>
      </c>
      <c r="BB151">
        <v>1469</v>
      </c>
      <c r="BC151">
        <v>1481</v>
      </c>
      <c r="BD151" t="s">
        <v>74</v>
      </c>
      <c r="BE151" t="s">
        <v>2593</v>
      </c>
      <c r="BF151" t="str">
        <f>HYPERLINK("http://dx.doi.org/10.1175/JCLI3344.1","http://dx.doi.org/10.1175/JCLI3344.1")</f>
        <v>http://dx.doi.org/10.1175/JCLI3344.1</v>
      </c>
      <c r="BG151" t="s">
        <v>74</v>
      </c>
      <c r="BH151" t="s">
        <v>74</v>
      </c>
      <c r="BI151">
        <v>13</v>
      </c>
      <c r="BJ151" t="s">
        <v>401</v>
      </c>
      <c r="BK151" t="s">
        <v>95</v>
      </c>
      <c r="BL151" t="s">
        <v>401</v>
      </c>
      <c r="BM151" t="s">
        <v>2594</v>
      </c>
      <c r="BN151" t="s">
        <v>74</v>
      </c>
      <c r="BO151" t="s">
        <v>750</v>
      </c>
      <c r="BP151" t="s">
        <v>74</v>
      </c>
      <c r="BQ151" t="s">
        <v>74</v>
      </c>
      <c r="BR151" t="s">
        <v>97</v>
      </c>
      <c r="BS151" t="s">
        <v>2595</v>
      </c>
      <c r="BT151" t="str">
        <f>HYPERLINK("https%3A%2F%2Fwww.webofscience.com%2Fwos%2Fwoscc%2Ffull-record%2FWOS:000229476600002","View Full Record in Web of Science")</f>
        <v>View Full Record in Web of Science</v>
      </c>
    </row>
    <row r="152" spans="1:72" x14ac:dyDescent="0.15">
      <c r="A152" t="s">
        <v>72</v>
      </c>
      <c r="B152" t="s">
        <v>2596</v>
      </c>
      <c r="C152" t="s">
        <v>74</v>
      </c>
      <c r="D152" t="s">
        <v>74</v>
      </c>
      <c r="E152" t="s">
        <v>74</v>
      </c>
      <c r="F152" t="s">
        <v>2596</v>
      </c>
      <c r="G152" t="s">
        <v>74</v>
      </c>
      <c r="H152" t="s">
        <v>74</v>
      </c>
      <c r="I152" t="s">
        <v>2597</v>
      </c>
      <c r="J152" t="s">
        <v>893</v>
      </c>
      <c r="K152" t="s">
        <v>74</v>
      </c>
      <c r="L152" t="s">
        <v>74</v>
      </c>
      <c r="M152" t="s">
        <v>77</v>
      </c>
      <c r="N152" t="s">
        <v>78</v>
      </c>
      <c r="O152" t="s">
        <v>74</v>
      </c>
      <c r="P152" t="s">
        <v>74</v>
      </c>
      <c r="Q152" t="s">
        <v>74</v>
      </c>
      <c r="R152" t="s">
        <v>74</v>
      </c>
      <c r="S152" t="s">
        <v>74</v>
      </c>
      <c r="T152" t="s">
        <v>74</v>
      </c>
      <c r="U152" t="s">
        <v>2598</v>
      </c>
      <c r="V152" t="s">
        <v>2599</v>
      </c>
      <c r="W152" t="s">
        <v>2600</v>
      </c>
      <c r="X152" t="s">
        <v>2601</v>
      </c>
      <c r="Y152" t="s">
        <v>2602</v>
      </c>
      <c r="Z152" t="s">
        <v>2603</v>
      </c>
      <c r="AA152" t="s">
        <v>2604</v>
      </c>
      <c r="AB152" t="s">
        <v>2605</v>
      </c>
      <c r="AC152" t="s">
        <v>74</v>
      </c>
      <c r="AD152" t="s">
        <v>74</v>
      </c>
      <c r="AE152" t="s">
        <v>74</v>
      </c>
      <c r="AF152" t="s">
        <v>74</v>
      </c>
      <c r="AG152">
        <v>25</v>
      </c>
      <c r="AH152">
        <v>60</v>
      </c>
      <c r="AI152">
        <v>63</v>
      </c>
      <c r="AJ152">
        <v>1</v>
      </c>
      <c r="AK152">
        <v>17</v>
      </c>
      <c r="AL152" t="s">
        <v>902</v>
      </c>
      <c r="AM152" t="s">
        <v>903</v>
      </c>
      <c r="AN152" t="s">
        <v>922</v>
      </c>
      <c r="AO152" t="s">
        <v>905</v>
      </c>
      <c r="AP152" t="s">
        <v>74</v>
      </c>
      <c r="AQ152" t="s">
        <v>74</v>
      </c>
      <c r="AR152" t="s">
        <v>907</v>
      </c>
      <c r="AS152" t="s">
        <v>908</v>
      </c>
      <c r="AT152" t="s">
        <v>2581</v>
      </c>
      <c r="AU152">
        <v>2005</v>
      </c>
      <c r="AV152">
        <v>18</v>
      </c>
      <c r="AW152">
        <v>10</v>
      </c>
      <c r="AX152" t="s">
        <v>74</v>
      </c>
      <c r="AY152" t="s">
        <v>74</v>
      </c>
      <c r="AZ152" t="s">
        <v>74</v>
      </c>
      <c r="BA152" t="s">
        <v>74</v>
      </c>
      <c r="BB152">
        <v>1575</v>
      </c>
      <c r="BC152">
        <v>1590</v>
      </c>
      <c r="BD152" t="s">
        <v>74</v>
      </c>
      <c r="BE152" t="s">
        <v>2606</v>
      </c>
      <c r="BF152" t="str">
        <f>HYPERLINK("http://dx.doi.org/10.1175/JCLI3350.1","http://dx.doi.org/10.1175/JCLI3350.1")</f>
        <v>http://dx.doi.org/10.1175/JCLI3350.1</v>
      </c>
      <c r="BG152" t="s">
        <v>74</v>
      </c>
      <c r="BH152" t="s">
        <v>74</v>
      </c>
      <c r="BI152">
        <v>16</v>
      </c>
      <c r="BJ152" t="s">
        <v>401</v>
      </c>
      <c r="BK152" t="s">
        <v>95</v>
      </c>
      <c r="BL152" t="s">
        <v>401</v>
      </c>
      <c r="BM152" t="s">
        <v>2594</v>
      </c>
      <c r="BN152" t="s">
        <v>74</v>
      </c>
      <c r="BO152" t="s">
        <v>539</v>
      </c>
      <c r="BP152" t="s">
        <v>74</v>
      </c>
      <c r="BQ152" t="s">
        <v>74</v>
      </c>
      <c r="BR152" t="s">
        <v>97</v>
      </c>
      <c r="BS152" t="s">
        <v>2607</v>
      </c>
      <c r="BT152" t="str">
        <f>HYPERLINK("https%3A%2F%2Fwww.webofscience.com%2Fwos%2Fwoscc%2Ffull-record%2FWOS:000229476600010","View Full Record in Web of Science")</f>
        <v>View Full Record in Web of Science</v>
      </c>
    </row>
    <row r="153" spans="1:72" x14ac:dyDescent="0.15">
      <c r="A153" t="s">
        <v>72</v>
      </c>
      <c r="B153" t="s">
        <v>2608</v>
      </c>
      <c r="C153" t="s">
        <v>74</v>
      </c>
      <c r="D153" t="s">
        <v>74</v>
      </c>
      <c r="E153" t="s">
        <v>74</v>
      </c>
      <c r="F153" t="s">
        <v>2608</v>
      </c>
      <c r="G153" t="s">
        <v>74</v>
      </c>
      <c r="H153" t="s">
        <v>74</v>
      </c>
      <c r="I153" t="s">
        <v>2609</v>
      </c>
      <c r="J153" t="s">
        <v>2610</v>
      </c>
      <c r="K153" t="s">
        <v>74</v>
      </c>
      <c r="L153" t="s">
        <v>74</v>
      </c>
      <c r="M153" t="s">
        <v>77</v>
      </c>
      <c r="N153" t="s">
        <v>78</v>
      </c>
      <c r="O153" t="s">
        <v>74</v>
      </c>
      <c r="P153" t="s">
        <v>74</v>
      </c>
      <c r="Q153" t="s">
        <v>74</v>
      </c>
      <c r="R153" t="s">
        <v>74</v>
      </c>
      <c r="S153" t="s">
        <v>74</v>
      </c>
      <c r="T153" t="s">
        <v>2611</v>
      </c>
      <c r="U153" t="s">
        <v>2612</v>
      </c>
      <c r="V153" t="s">
        <v>2613</v>
      </c>
      <c r="W153" t="s">
        <v>2614</v>
      </c>
      <c r="X153" t="s">
        <v>2615</v>
      </c>
      <c r="Y153" t="s">
        <v>2616</v>
      </c>
      <c r="Z153" t="s">
        <v>2617</v>
      </c>
      <c r="AA153" t="s">
        <v>2618</v>
      </c>
      <c r="AB153" t="s">
        <v>2619</v>
      </c>
      <c r="AC153" t="s">
        <v>74</v>
      </c>
      <c r="AD153" t="s">
        <v>74</v>
      </c>
      <c r="AE153" t="s">
        <v>74</v>
      </c>
      <c r="AF153" t="s">
        <v>74</v>
      </c>
      <c r="AG153">
        <v>18</v>
      </c>
      <c r="AH153">
        <v>17</v>
      </c>
      <c r="AI153">
        <v>19</v>
      </c>
      <c r="AJ153">
        <v>0</v>
      </c>
      <c r="AK153">
        <v>1</v>
      </c>
      <c r="AL153" t="s">
        <v>255</v>
      </c>
      <c r="AM153" t="s">
        <v>256</v>
      </c>
      <c r="AN153" t="s">
        <v>257</v>
      </c>
      <c r="AO153" t="s">
        <v>2620</v>
      </c>
      <c r="AP153" t="s">
        <v>2621</v>
      </c>
      <c r="AQ153" t="s">
        <v>74</v>
      </c>
      <c r="AR153" t="s">
        <v>2622</v>
      </c>
      <c r="AS153" t="s">
        <v>2623</v>
      </c>
      <c r="AT153" t="s">
        <v>2581</v>
      </c>
      <c r="AU153">
        <v>2005</v>
      </c>
      <c r="AV153">
        <v>92</v>
      </c>
      <c r="AW153">
        <v>3</v>
      </c>
      <c r="AX153" t="s">
        <v>74</v>
      </c>
      <c r="AY153" t="s">
        <v>74</v>
      </c>
      <c r="AZ153" t="s">
        <v>74</v>
      </c>
      <c r="BA153" t="s">
        <v>74</v>
      </c>
      <c r="BB153">
        <v>321</v>
      </c>
      <c r="BC153">
        <v>333</v>
      </c>
      <c r="BD153" t="s">
        <v>74</v>
      </c>
      <c r="BE153" t="s">
        <v>2624</v>
      </c>
      <c r="BF153" t="str">
        <f>HYPERLINK("http://dx.doi.org/10.1016/j.jqsrt.2004.07.030","http://dx.doi.org/10.1016/j.jqsrt.2004.07.030")</f>
        <v>http://dx.doi.org/10.1016/j.jqsrt.2004.07.030</v>
      </c>
      <c r="BG153" t="s">
        <v>74</v>
      </c>
      <c r="BH153" t="s">
        <v>74</v>
      </c>
      <c r="BI153">
        <v>13</v>
      </c>
      <c r="BJ153" t="s">
        <v>2625</v>
      </c>
      <c r="BK153" t="s">
        <v>95</v>
      </c>
      <c r="BL153" t="s">
        <v>2625</v>
      </c>
      <c r="BM153" t="s">
        <v>2626</v>
      </c>
      <c r="BN153" t="s">
        <v>74</v>
      </c>
      <c r="BO153" t="s">
        <v>74</v>
      </c>
      <c r="BP153" t="s">
        <v>74</v>
      </c>
      <c r="BQ153" t="s">
        <v>74</v>
      </c>
      <c r="BR153" t="s">
        <v>97</v>
      </c>
      <c r="BS153" t="s">
        <v>2627</v>
      </c>
      <c r="BT153" t="str">
        <f>HYPERLINK("https%3A%2F%2Fwww.webofscience.com%2Fwos%2Fwoscc%2Ffull-record%2FWOS:000226709700005","View Full Record in Web of Science")</f>
        <v>View Full Record in Web of Science</v>
      </c>
    </row>
    <row r="154" spans="1:72" x14ac:dyDescent="0.15">
      <c r="A154" t="s">
        <v>72</v>
      </c>
      <c r="B154" t="s">
        <v>2628</v>
      </c>
      <c r="C154" t="s">
        <v>74</v>
      </c>
      <c r="D154" t="s">
        <v>74</v>
      </c>
      <c r="E154" t="s">
        <v>74</v>
      </c>
      <c r="F154" t="s">
        <v>2628</v>
      </c>
      <c r="G154" t="s">
        <v>74</v>
      </c>
      <c r="H154" t="s">
        <v>74</v>
      </c>
      <c r="I154" t="s">
        <v>2629</v>
      </c>
      <c r="J154" t="s">
        <v>947</v>
      </c>
      <c r="K154" t="s">
        <v>74</v>
      </c>
      <c r="L154" t="s">
        <v>74</v>
      </c>
      <c r="M154" t="s">
        <v>77</v>
      </c>
      <c r="N154" t="s">
        <v>78</v>
      </c>
      <c r="O154" t="s">
        <v>74</v>
      </c>
      <c r="P154" t="s">
        <v>74</v>
      </c>
      <c r="Q154" t="s">
        <v>74</v>
      </c>
      <c r="R154" t="s">
        <v>74</v>
      </c>
      <c r="S154" t="s">
        <v>74</v>
      </c>
      <c r="T154" t="s">
        <v>2630</v>
      </c>
      <c r="U154" t="s">
        <v>2631</v>
      </c>
      <c r="V154" t="s">
        <v>2632</v>
      </c>
      <c r="W154" t="s">
        <v>2633</v>
      </c>
      <c r="X154" t="s">
        <v>2634</v>
      </c>
      <c r="Y154" t="s">
        <v>2635</v>
      </c>
      <c r="Z154" t="s">
        <v>2636</v>
      </c>
      <c r="AA154" t="s">
        <v>74</v>
      </c>
      <c r="AB154" t="s">
        <v>2637</v>
      </c>
      <c r="AC154" t="s">
        <v>2638</v>
      </c>
      <c r="AD154" t="s">
        <v>2639</v>
      </c>
      <c r="AE154" t="s">
        <v>74</v>
      </c>
      <c r="AF154" t="s">
        <v>74</v>
      </c>
      <c r="AG154">
        <v>67</v>
      </c>
      <c r="AH154">
        <v>49</v>
      </c>
      <c r="AI154">
        <v>50</v>
      </c>
      <c r="AJ154">
        <v>0</v>
      </c>
      <c r="AK154">
        <v>15</v>
      </c>
      <c r="AL154" t="s">
        <v>435</v>
      </c>
      <c r="AM154" t="s">
        <v>436</v>
      </c>
      <c r="AN154" t="s">
        <v>437</v>
      </c>
      <c r="AO154" t="s">
        <v>957</v>
      </c>
      <c r="AP154" t="s">
        <v>958</v>
      </c>
      <c r="AQ154" t="s">
        <v>74</v>
      </c>
      <c r="AR154" t="s">
        <v>959</v>
      </c>
      <c r="AS154" t="s">
        <v>960</v>
      </c>
      <c r="AT154" t="s">
        <v>2581</v>
      </c>
      <c r="AU154">
        <v>2005</v>
      </c>
      <c r="AV154">
        <v>216</v>
      </c>
      <c r="AW154">
        <v>4</v>
      </c>
      <c r="AX154" t="s">
        <v>74</v>
      </c>
      <c r="AY154" t="s">
        <v>74</v>
      </c>
      <c r="AZ154" t="s">
        <v>74</v>
      </c>
      <c r="BA154" t="s">
        <v>74</v>
      </c>
      <c r="BB154">
        <v>191</v>
      </c>
      <c r="BC154">
        <v>204</v>
      </c>
      <c r="BD154" t="s">
        <v>74</v>
      </c>
      <c r="BE154" t="s">
        <v>2640</v>
      </c>
      <c r="BF154" t="str">
        <f>HYPERLINK("http://dx.doi.org/10.1016/j.margeo.2005.01.007","http://dx.doi.org/10.1016/j.margeo.2005.01.007")</f>
        <v>http://dx.doi.org/10.1016/j.margeo.2005.01.007</v>
      </c>
      <c r="BG154" t="s">
        <v>74</v>
      </c>
      <c r="BH154" t="s">
        <v>74</v>
      </c>
      <c r="BI154">
        <v>14</v>
      </c>
      <c r="BJ154" t="s">
        <v>963</v>
      </c>
      <c r="BK154" t="s">
        <v>95</v>
      </c>
      <c r="BL154" t="s">
        <v>964</v>
      </c>
      <c r="BM154" t="s">
        <v>2641</v>
      </c>
      <c r="BN154" t="s">
        <v>74</v>
      </c>
      <c r="BO154" t="s">
        <v>750</v>
      </c>
      <c r="BP154" t="s">
        <v>74</v>
      </c>
      <c r="BQ154" t="s">
        <v>74</v>
      </c>
      <c r="BR154" t="s">
        <v>97</v>
      </c>
      <c r="BS154" t="s">
        <v>2642</v>
      </c>
      <c r="BT154" t="str">
        <f>HYPERLINK("https%3A%2F%2Fwww.webofscience.com%2Fwos%2Fwoscc%2Ffull-record%2FWOS:000229051100001","View Full Record in Web of Science")</f>
        <v>View Full Record in Web of Science</v>
      </c>
    </row>
    <row r="155" spans="1:72" x14ac:dyDescent="0.15">
      <c r="A155" t="s">
        <v>72</v>
      </c>
      <c r="B155" t="s">
        <v>2643</v>
      </c>
      <c r="C155" t="s">
        <v>74</v>
      </c>
      <c r="D155" t="s">
        <v>74</v>
      </c>
      <c r="E155" t="s">
        <v>74</v>
      </c>
      <c r="F155" t="s">
        <v>2643</v>
      </c>
      <c r="G155" t="s">
        <v>74</v>
      </c>
      <c r="H155" t="s">
        <v>74</v>
      </c>
      <c r="I155" t="s">
        <v>2644</v>
      </c>
      <c r="J155" t="s">
        <v>947</v>
      </c>
      <c r="K155" t="s">
        <v>74</v>
      </c>
      <c r="L155" t="s">
        <v>74</v>
      </c>
      <c r="M155" t="s">
        <v>77</v>
      </c>
      <c r="N155" t="s">
        <v>78</v>
      </c>
      <c r="O155" t="s">
        <v>74</v>
      </c>
      <c r="P155" t="s">
        <v>74</v>
      </c>
      <c r="Q155" t="s">
        <v>74</v>
      </c>
      <c r="R155" t="s">
        <v>74</v>
      </c>
      <c r="S155" t="s">
        <v>74</v>
      </c>
      <c r="T155" t="s">
        <v>2645</v>
      </c>
      <c r="U155" t="s">
        <v>2646</v>
      </c>
      <c r="V155" t="s">
        <v>2647</v>
      </c>
      <c r="W155" t="s">
        <v>2648</v>
      </c>
      <c r="X155" t="s">
        <v>2649</v>
      </c>
      <c r="Y155" t="s">
        <v>2650</v>
      </c>
      <c r="Z155" t="s">
        <v>2651</v>
      </c>
      <c r="AA155" t="s">
        <v>2652</v>
      </c>
      <c r="AB155" t="s">
        <v>2653</v>
      </c>
      <c r="AC155" t="s">
        <v>74</v>
      </c>
      <c r="AD155" t="s">
        <v>74</v>
      </c>
      <c r="AE155" t="s">
        <v>74</v>
      </c>
      <c r="AF155" t="s">
        <v>74</v>
      </c>
      <c r="AG155">
        <v>73</v>
      </c>
      <c r="AH155">
        <v>20</v>
      </c>
      <c r="AI155">
        <v>22</v>
      </c>
      <c r="AJ155">
        <v>0</v>
      </c>
      <c r="AK155">
        <v>12</v>
      </c>
      <c r="AL155" t="s">
        <v>435</v>
      </c>
      <c r="AM155" t="s">
        <v>436</v>
      </c>
      <c r="AN155" t="s">
        <v>437</v>
      </c>
      <c r="AO155" t="s">
        <v>957</v>
      </c>
      <c r="AP155" t="s">
        <v>958</v>
      </c>
      <c r="AQ155" t="s">
        <v>74</v>
      </c>
      <c r="AR155" t="s">
        <v>959</v>
      </c>
      <c r="AS155" t="s">
        <v>960</v>
      </c>
      <c r="AT155" t="s">
        <v>2581</v>
      </c>
      <c r="AU155">
        <v>2005</v>
      </c>
      <c r="AV155">
        <v>216</v>
      </c>
      <c r="AW155">
        <v>4</v>
      </c>
      <c r="AX155" t="s">
        <v>74</v>
      </c>
      <c r="AY155" t="s">
        <v>74</v>
      </c>
      <c r="AZ155" t="s">
        <v>74</v>
      </c>
      <c r="BA155" t="s">
        <v>74</v>
      </c>
      <c r="BB155">
        <v>221</v>
      </c>
      <c r="BC155">
        <v>238</v>
      </c>
      <c r="BD155" t="s">
        <v>74</v>
      </c>
      <c r="BE155" t="s">
        <v>2654</v>
      </c>
      <c r="BF155" t="str">
        <f>HYPERLINK("http://dx.doi.org/10.1016/j.margeo.2005.02.024","http://dx.doi.org/10.1016/j.margeo.2005.02.024")</f>
        <v>http://dx.doi.org/10.1016/j.margeo.2005.02.024</v>
      </c>
      <c r="BG155" t="s">
        <v>74</v>
      </c>
      <c r="BH155" t="s">
        <v>74</v>
      </c>
      <c r="BI155">
        <v>18</v>
      </c>
      <c r="BJ155" t="s">
        <v>963</v>
      </c>
      <c r="BK155" t="s">
        <v>95</v>
      </c>
      <c r="BL155" t="s">
        <v>964</v>
      </c>
      <c r="BM155" t="s">
        <v>2641</v>
      </c>
      <c r="BN155" t="s">
        <v>74</v>
      </c>
      <c r="BO155" t="s">
        <v>74</v>
      </c>
      <c r="BP155" t="s">
        <v>74</v>
      </c>
      <c r="BQ155" t="s">
        <v>74</v>
      </c>
      <c r="BR155" t="s">
        <v>97</v>
      </c>
      <c r="BS155" t="s">
        <v>2655</v>
      </c>
      <c r="BT155" t="str">
        <f>HYPERLINK("https%3A%2F%2Fwww.webofscience.com%2Fwos%2Fwoscc%2Ffull-record%2FWOS:000229051100003","View Full Record in Web of Science")</f>
        <v>View Full Record in Web of Science</v>
      </c>
    </row>
    <row r="156" spans="1:72" x14ac:dyDescent="0.15">
      <c r="A156" t="s">
        <v>72</v>
      </c>
      <c r="B156" t="s">
        <v>2656</v>
      </c>
      <c r="C156" t="s">
        <v>74</v>
      </c>
      <c r="D156" t="s">
        <v>74</v>
      </c>
      <c r="E156" t="s">
        <v>74</v>
      </c>
      <c r="F156" t="s">
        <v>2656</v>
      </c>
      <c r="G156" t="s">
        <v>74</v>
      </c>
      <c r="H156" t="s">
        <v>74</v>
      </c>
      <c r="I156" t="s">
        <v>2657</v>
      </c>
      <c r="J156" t="s">
        <v>617</v>
      </c>
      <c r="K156" t="s">
        <v>74</v>
      </c>
      <c r="L156" t="s">
        <v>74</v>
      </c>
      <c r="M156" t="s">
        <v>77</v>
      </c>
      <c r="N156" t="s">
        <v>78</v>
      </c>
      <c r="O156" t="s">
        <v>74</v>
      </c>
      <c r="P156" t="s">
        <v>74</v>
      </c>
      <c r="Q156" t="s">
        <v>74</v>
      </c>
      <c r="R156" t="s">
        <v>74</v>
      </c>
      <c r="S156" t="s">
        <v>74</v>
      </c>
      <c r="T156" t="s">
        <v>74</v>
      </c>
      <c r="U156" t="s">
        <v>2658</v>
      </c>
      <c r="V156" t="s">
        <v>2659</v>
      </c>
      <c r="W156" t="s">
        <v>2660</v>
      </c>
      <c r="X156" t="s">
        <v>2661</v>
      </c>
      <c r="Y156" t="s">
        <v>2662</v>
      </c>
      <c r="Z156" t="s">
        <v>2663</v>
      </c>
      <c r="AA156" t="s">
        <v>2664</v>
      </c>
      <c r="AB156" t="s">
        <v>2665</v>
      </c>
      <c r="AC156" t="s">
        <v>74</v>
      </c>
      <c r="AD156" t="s">
        <v>74</v>
      </c>
      <c r="AE156" t="s">
        <v>74</v>
      </c>
      <c r="AF156" t="s">
        <v>74</v>
      </c>
      <c r="AG156">
        <v>46</v>
      </c>
      <c r="AH156">
        <v>41</v>
      </c>
      <c r="AI156">
        <v>47</v>
      </c>
      <c r="AJ156">
        <v>0</v>
      </c>
      <c r="AK156">
        <v>4</v>
      </c>
      <c r="AL156" t="s">
        <v>527</v>
      </c>
      <c r="AM156" t="s">
        <v>528</v>
      </c>
      <c r="AN156" t="s">
        <v>529</v>
      </c>
      <c r="AO156" t="s">
        <v>625</v>
      </c>
      <c r="AP156" t="s">
        <v>626</v>
      </c>
      <c r="AQ156" t="s">
        <v>74</v>
      </c>
      <c r="AR156" t="s">
        <v>627</v>
      </c>
      <c r="AS156" t="s">
        <v>628</v>
      </c>
      <c r="AT156" t="s">
        <v>2666</v>
      </c>
      <c r="AU156">
        <v>2005</v>
      </c>
      <c r="AV156">
        <v>110</v>
      </c>
      <c r="AW156" t="s">
        <v>2667</v>
      </c>
      <c r="AX156" t="s">
        <v>74</v>
      </c>
      <c r="AY156" t="s">
        <v>74</v>
      </c>
      <c r="AZ156" t="s">
        <v>74</v>
      </c>
      <c r="BA156" t="s">
        <v>74</v>
      </c>
      <c r="BB156" t="s">
        <v>74</v>
      </c>
      <c r="BC156" t="s">
        <v>74</v>
      </c>
      <c r="BD156" t="s">
        <v>2668</v>
      </c>
      <c r="BE156" t="s">
        <v>2669</v>
      </c>
      <c r="BF156" t="str">
        <f>HYPERLINK("http://dx.doi.org/10.1029/2004JC002492","http://dx.doi.org/10.1029/2004JC002492")</f>
        <v>http://dx.doi.org/10.1029/2004JC002492</v>
      </c>
      <c r="BG156" t="s">
        <v>74</v>
      </c>
      <c r="BH156" t="s">
        <v>74</v>
      </c>
      <c r="BI156">
        <v>9</v>
      </c>
      <c r="BJ156" t="s">
        <v>632</v>
      </c>
      <c r="BK156" t="s">
        <v>95</v>
      </c>
      <c r="BL156" t="s">
        <v>632</v>
      </c>
      <c r="BM156" t="s">
        <v>2670</v>
      </c>
      <c r="BN156" t="s">
        <v>74</v>
      </c>
      <c r="BO156" t="s">
        <v>74</v>
      </c>
      <c r="BP156" t="s">
        <v>74</v>
      </c>
      <c r="BQ156" t="s">
        <v>74</v>
      </c>
      <c r="BR156" t="s">
        <v>97</v>
      </c>
      <c r="BS156" t="s">
        <v>2671</v>
      </c>
      <c r="BT156" t="str">
        <f>HYPERLINK("https%3A%2F%2Fwww.webofscience.com%2Fwos%2Fwoscc%2Ffull-record%2FWOS:000229212300003","View Full Record in Web of Science")</f>
        <v>View Full Record in Web of Science</v>
      </c>
    </row>
    <row r="157" spans="1:72" x14ac:dyDescent="0.15">
      <c r="A157" t="s">
        <v>72</v>
      </c>
      <c r="B157" t="s">
        <v>2672</v>
      </c>
      <c r="C157" t="s">
        <v>74</v>
      </c>
      <c r="D157" t="s">
        <v>74</v>
      </c>
      <c r="E157" t="s">
        <v>74</v>
      </c>
      <c r="F157" t="s">
        <v>2672</v>
      </c>
      <c r="G157" t="s">
        <v>74</v>
      </c>
      <c r="H157" t="s">
        <v>74</v>
      </c>
      <c r="I157" t="s">
        <v>2673</v>
      </c>
      <c r="J157" t="s">
        <v>519</v>
      </c>
      <c r="K157" t="s">
        <v>74</v>
      </c>
      <c r="L157" t="s">
        <v>74</v>
      </c>
      <c r="M157" t="s">
        <v>77</v>
      </c>
      <c r="N157" t="s">
        <v>78</v>
      </c>
      <c r="O157" t="s">
        <v>74</v>
      </c>
      <c r="P157" t="s">
        <v>74</v>
      </c>
      <c r="Q157" t="s">
        <v>74</v>
      </c>
      <c r="R157" t="s">
        <v>74</v>
      </c>
      <c r="S157" t="s">
        <v>74</v>
      </c>
      <c r="T157" t="s">
        <v>74</v>
      </c>
      <c r="U157" t="s">
        <v>2674</v>
      </c>
      <c r="V157" t="s">
        <v>2675</v>
      </c>
      <c r="W157" t="s">
        <v>2676</v>
      </c>
      <c r="X157" t="s">
        <v>2677</v>
      </c>
      <c r="Y157" t="s">
        <v>2678</v>
      </c>
      <c r="Z157" t="s">
        <v>2679</v>
      </c>
      <c r="AA157" t="s">
        <v>2680</v>
      </c>
      <c r="AB157" t="s">
        <v>2681</v>
      </c>
      <c r="AC157" t="s">
        <v>74</v>
      </c>
      <c r="AD157" t="s">
        <v>74</v>
      </c>
      <c r="AE157" t="s">
        <v>74</v>
      </c>
      <c r="AF157" t="s">
        <v>74</v>
      </c>
      <c r="AG157">
        <v>21</v>
      </c>
      <c r="AH157">
        <v>16</v>
      </c>
      <c r="AI157">
        <v>18</v>
      </c>
      <c r="AJ157">
        <v>0</v>
      </c>
      <c r="AK157">
        <v>5</v>
      </c>
      <c r="AL157" t="s">
        <v>527</v>
      </c>
      <c r="AM157" t="s">
        <v>528</v>
      </c>
      <c r="AN157" t="s">
        <v>529</v>
      </c>
      <c r="AO157" t="s">
        <v>530</v>
      </c>
      <c r="AP157" t="s">
        <v>74</v>
      </c>
      <c r="AQ157" t="s">
        <v>74</v>
      </c>
      <c r="AR157" t="s">
        <v>532</v>
      </c>
      <c r="AS157" t="s">
        <v>533</v>
      </c>
      <c r="AT157" t="s">
        <v>2682</v>
      </c>
      <c r="AU157">
        <v>2005</v>
      </c>
      <c r="AV157">
        <v>32</v>
      </c>
      <c r="AW157">
        <v>9</v>
      </c>
      <c r="AX157" t="s">
        <v>74</v>
      </c>
      <c r="AY157" t="s">
        <v>74</v>
      </c>
      <c r="AZ157" t="s">
        <v>74</v>
      </c>
      <c r="BA157" t="s">
        <v>74</v>
      </c>
      <c r="BB157" t="s">
        <v>74</v>
      </c>
      <c r="BC157" t="s">
        <v>74</v>
      </c>
      <c r="BD157" t="s">
        <v>2683</v>
      </c>
      <c r="BE157" t="s">
        <v>2684</v>
      </c>
      <c r="BF157" t="str">
        <f>HYPERLINK("http://dx.doi.org/10.1029/2004GL021983","http://dx.doi.org/10.1029/2004GL021983")</f>
        <v>http://dx.doi.org/10.1029/2004GL021983</v>
      </c>
      <c r="BG157" t="s">
        <v>74</v>
      </c>
      <c r="BH157" t="s">
        <v>74</v>
      </c>
      <c r="BI157">
        <v>5</v>
      </c>
      <c r="BJ157" t="s">
        <v>537</v>
      </c>
      <c r="BK157" t="s">
        <v>95</v>
      </c>
      <c r="BL157" t="s">
        <v>307</v>
      </c>
      <c r="BM157" t="s">
        <v>2685</v>
      </c>
      <c r="BN157" t="s">
        <v>74</v>
      </c>
      <c r="BO157" t="s">
        <v>539</v>
      </c>
      <c r="BP157" t="s">
        <v>74</v>
      </c>
      <c r="BQ157" t="s">
        <v>74</v>
      </c>
      <c r="BR157" t="s">
        <v>97</v>
      </c>
      <c r="BS157" t="s">
        <v>2686</v>
      </c>
      <c r="BT157" t="str">
        <f>HYPERLINK("https%3A%2F%2Fwww.webofscience.com%2Fwos%2Fwoscc%2Ffull-record%2FWOS:000229211200001","View Full Record in Web of Science")</f>
        <v>View Full Record in Web of Science</v>
      </c>
    </row>
    <row r="158" spans="1:72" x14ac:dyDescent="0.15">
      <c r="A158" t="s">
        <v>72</v>
      </c>
      <c r="B158" t="s">
        <v>2687</v>
      </c>
      <c r="C158" t="s">
        <v>74</v>
      </c>
      <c r="D158" t="s">
        <v>74</v>
      </c>
      <c r="E158" t="s">
        <v>74</v>
      </c>
      <c r="F158" t="s">
        <v>2687</v>
      </c>
      <c r="G158" t="s">
        <v>74</v>
      </c>
      <c r="H158" t="s">
        <v>74</v>
      </c>
      <c r="I158" t="s">
        <v>2688</v>
      </c>
      <c r="J158" t="s">
        <v>785</v>
      </c>
      <c r="K158" t="s">
        <v>74</v>
      </c>
      <c r="L158" t="s">
        <v>74</v>
      </c>
      <c r="M158" t="s">
        <v>77</v>
      </c>
      <c r="N158" t="s">
        <v>78</v>
      </c>
      <c r="O158" t="s">
        <v>74</v>
      </c>
      <c r="P158" t="s">
        <v>74</v>
      </c>
      <c r="Q158" t="s">
        <v>74</v>
      </c>
      <c r="R158" t="s">
        <v>74</v>
      </c>
      <c r="S158" t="s">
        <v>74</v>
      </c>
      <c r="T158" t="s">
        <v>2689</v>
      </c>
      <c r="U158" t="s">
        <v>2690</v>
      </c>
      <c r="V158" t="s">
        <v>2691</v>
      </c>
      <c r="W158" t="s">
        <v>2692</v>
      </c>
      <c r="X158" t="s">
        <v>2693</v>
      </c>
      <c r="Y158" t="s">
        <v>2694</v>
      </c>
      <c r="Z158" t="s">
        <v>2695</v>
      </c>
      <c r="AA158" t="s">
        <v>2696</v>
      </c>
      <c r="AB158" t="s">
        <v>2697</v>
      </c>
      <c r="AC158" t="s">
        <v>74</v>
      </c>
      <c r="AD158" t="s">
        <v>74</v>
      </c>
      <c r="AE158" t="s">
        <v>74</v>
      </c>
      <c r="AF158" t="s">
        <v>74</v>
      </c>
      <c r="AG158">
        <v>77</v>
      </c>
      <c r="AH158">
        <v>86</v>
      </c>
      <c r="AI158">
        <v>91</v>
      </c>
      <c r="AJ158">
        <v>2</v>
      </c>
      <c r="AK158">
        <v>22</v>
      </c>
      <c r="AL158" t="s">
        <v>435</v>
      </c>
      <c r="AM158" t="s">
        <v>436</v>
      </c>
      <c r="AN158" t="s">
        <v>437</v>
      </c>
      <c r="AO158" t="s">
        <v>795</v>
      </c>
      <c r="AP158" t="s">
        <v>796</v>
      </c>
      <c r="AQ158" t="s">
        <v>74</v>
      </c>
      <c r="AR158" t="s">
        <v>797</v>
      </c>
      <c r="AS158" t="s">
        <v>798</v>
      </c>
      <c r="AT158" t="s">
        <v>2682</v>
      </c>
      <c r="AU158">
        <v>2005</v>
      </c>
      <c r="AV158">
        <v>220</v>
      </c>
      <c r="AW158" t="s">
        <v>961</v>
      </c>
      <c r="AX158" t="s">
        <v>74</v>
      </c>
      <c r="AY158" t="s">
        <v>74</v>
      </c>
      <c r="AZ158" t="s">
        <v>74</v>
      </c>
      <c r="BA158" t="s">
        <v>74</v>
      </c>
      <c r="BB158">
        <v>273</v>
      </c>
      <c r="BC158">
        <v>289</v>
      </c>
      <c r="BD158" t="s">
        <v>74</v>
      </c>
      <c r="BE158" t="s">
        <v>2698</v>
      </c>
      <c r="BF158" t="str">
        <f>HYPERLINK("http://dx.doi.org/10.1016/j.palaeo.2005.01.007","http://dx.doi.org/10.1016/j.palaeo.2005.01.007")</f>
        <v>http://dx.doi.org/10.1016/j.palaeo.2005.01.007</v>
      </c>
      <c r="BG158" t="s">
        <v>74</v>
      </c>
      <c r="BH158" t="s">
        <v>74</v>
      </c>
      <c r="BI158">
        <v>17</v>
      </c>
      <c r="BJ158" t="s">
        <v>801</v>
      </c>
      <c r="BK158" t="s">
        <v>95</v>
      </c>
      <c r="BL158" t="s">
        <v>802</v>
      </c>
      <c r="BM158" t="s">
        <v>2699</v>
      </c>
      <c r="BN158" t="s">
        <v>74</v>
      </c>
      <c r="BO158" t="s">
        <v>74</v>
      </c>
      <c r="BP158" t="s">
        <v>74</v>
      </c>
      <c r="BQ158" t="s">
        <v>74</v>
      </c>
      <c r="BR158" t="s">
        <v>97</v>
      </c>
      <c r="BS158" t="s">
        <v>2700</v>
      </c>
      <c r="BT158" t="str">
        <f>HYPERLINK("https%3A%2F%2Fwww.webofscience.com%2Fwos%2Fwoscc%2Ffull-record%2FWOS:000229162700004","View Full Record in Web of Science")</f>
        <v>View Full Record in Web of Science</v>
      </c>
    </row>
    <row r="159" spans="1:72" x14ac:dyDescent="0.15">
      <c r="A159" t="s">
        <v>72</v>
      </c>
      <c r="B159" t="s">
        <v>2701</v>
      </c>
      <c r="C159" t="s">
        <v>74</v>
      </c>
      <c r="D159" t="s">
        <v>74</v>
      </c>
      <c r="E159" t="s">
        <v>74</v>
      </c>
      <c r="F159" t="s">
        <v>2701</v>
      </c>
      <c r="G159" t="s">
        <v>74</v>
      </c>
      <c r="H159" t="s">
        <v>74</v>
      </c>
      <c r="I159" t="s">
        <v>2702</v>
      </c>
      <c r="J159" t="s">
        <v>668</v>
      </c>
      <c r="K159" t="s">
        <v>74</v>
      </c>
      <c r="L159" t="s">
        <v>74</v>
      </c>
      <c r="M159" t="s">
        <v>77</v>
      </c>
      <c r="N159" t="s">
        <v>78</v>
      </c>
      <c r="O159" t="s">
        <v>74</v>
      </c>
      <c r="P159" t="s">
        <v>74</v>
      </c>
      <c r="Q159" t="s">
        <v>74</v>
      </c>
      <c r="R159" t="s">
        <v>74</v>
      </c>
      <c r="S159" t="s">
        <v>74</v>
      </c>
      <c r="T159" t="s">
        <v>74</v>
      </c>
      <c r="U159" t="s">
        <v>2703</v>
      </c>
      <c r="V159" t="s">
        <v>2704</v>
      </c>
      <c r="W159" t="s">
        <v>2705</v>
      </c>
      <c r="X159" t="s">
        <v>2706</v>
      </c>
      <c r="Y159" t="s">
        <v>2707</v>
      </c>
      <c r="Z159" t="s">
        <v>2708</v>
      </c>
      <c r="AA159" t="s">
        <v>2709</v>
      </c>
      <c r="AB159" t="s">
        <v>2710</v>
      </c>
      <c r="AC159" t="s">
        <v>74</v>
      </c>
      <c r="AD159" t="s">
        <v>74</v>
      </c>
      <c r="AE159" t="s">
        <v>74</v>
      </c>
      <c r="AF159" t="s">
        <v>74</v>
      </c>
      <c r="AG159">
        <v>34</v>
      </c>
      <c r="AH159">
        <v>143</v>
      </c>
      <c r="AI159">
        <v>167</v>
      </c>
      <c r="AJ159">
        <v>3</v>
      </c>
      <c r="AK159">
        <v>68</v>
      </c>
      <c r="AL159" t="s">
        <v>676</v>
      </c>
      <c r="AM159" t="s">
        <v>528</v>
      </c>
      <c r="AN159" t="s">
        <v>677</v>
      </c>
      <c r="AO159" t="s">
        <v>678</v>
      </c>
      <c r="AP159" t="s">
        <v>696</v>
      </c>
      <c r="AQ159" t="s">
        <v>74</v>
      </c>
      <c r="AR159" t="s">
        <v>668</v>
      </c>
      <c r="AS159" t="s">
        <v>679</v>
      </c>
      <c r="AT159" t="s">
        <v>2682</v>
      </c>
      <c r="AU159">
        <v>2005</v>
      </c>
      <c r="AV159">
        <v>308</v>
      </c>
      <c r="AW159">
        <v>5724</v>
      </c>
      <c r="AX159" t="s">
        <v>74</v>
      </c>
      <c r="AY159" t="s">
        <v>74</v>
      </c>
      <c r="AZ159" t="s">
        <v>74</v>
      </c>
      <c r="BA159" t="s">
        <v>74</v>
      </c>
      <c r="BB159">
        <v>1003</v>
      </c>
      <c r="BC159">
        <v>1006</v>
      </c>
      <c r="BD159" t="s">
        <v>74</v>
      </c>
      <c r="BE159" t="s">
        <v>2711</v>
      </c>
      <c r="BF159" t="str">
        <f>HYPERLINK("http://dx.doi.org/10.1126/science.1108696","http://dx.doi.org/10.1126/science.1108696")</f>
        <v>http://dx.doi.org/10.1126/science.1108696</v>
      </c>
      <c r="BG159" t="s">
        <v>74</v>
      </c>
      <c r="BH159" t="s">
        <v>74</v>
      </c>
      <c r="BI159">
        <v>4</v>
      </c>
      <c r="BJ159" t="s">
        <v>682</v>
      </c>
      <c r="BK159" t="s">
        <v>95</v>
      </c>
      <c r="BL159" t="s">
        <v>683</v>
      </c>
      <c r="BM159" t="s">
        <v>2712</v>
      </c>
      <c r="BN159">
        <v>15890879</v>
      </c>
      <c r="BO159" t="s">
        <v>74</v>
      </c>
      <c r="BP159" t="s">
        <v>74</v>
      </c>
      <c r="BQ159" t="s">
        <v>74</v>
      </c>
      <c r="BR159" t="s">
        <v>97</v>
      </c>
      <c r="BS159" t="s">
        <v>2713</v>
      </c>
      <c r="BT159" t="str">
        <f>HYPERLINK("https%3A%2F%2Fwww.webofscience.com%2Fwos%2Fwoscc%2Ffull-record%2FWOS:000229190700041","View Full Record in Web of Science")</f>
        <v>View Full Record in Web of Science</v>
      </c>
    </row>
    <row r="160" spans="1:72" x14ac:dyDescent="0.15">
      <c r="A160" t="s">
        <v>72</v>
      </c>
      <c r="B160" t="s">
        <v>2714</v>
      </c>
      <c r="C160" t="s">
        <v>74</v>
      </c>
      <c r="D160" t="s">
        <v>74</v>
      </c>
      <c r="E160" t="s">
        <v>74</v>
      </c>
      <c r="F160" t="s">
        <v>2714</v>
      </c>
      <c r="G160" t="s">
        <v>74</v>
      </c>
      <c r="H160" t="s">
        <v>74</v>
      </c>
      <c r="I160" t="s">
        <v>2715</v>
      </c>
      <c r="J160" t="s">
        <v>767</v>
      </c>
      <c r="K160" t="s">
        <v>74</v>
      </c>
      <c r="L160" t="s">
        <v>74</v>
      </c>
      <c r="M160" t="s">
        <v>77</v>
      </c>
      <c r="N160" t="s">
        <v>78</v>
      </c>
      <c r="O160" t="s">
        <v>74</v>
      </c>
      <c r="P160" t="s">
        <v>74</v>
      </c>
      <c r="Q160" t="s">
        <v>74</v>
      </c>
      <c r="R160" t="s">
        <v>74</v>
      </c>
      <c r="S160" t="s">
        <v>74</v>
      </c>
      <c r="T160" t="s">
        <v>2716</v>
      </c>
      <c r="U160" t="s">
        <v>2717</v>
      </c>
      <c r="V160" t="s">
        <v>2718</v>
      </c>
      <c r="W160" t="s">
        <v>2719</v>
      </c>
      <c r="X160" t="s">
        <v>2720</v>
      </c>
      <c r="Y160" t="s">
        <v>2721</v>
      </c>
      <c r="Z160" t="s">
        <v>2722</v>
      </c>
      <c r="AA160" t="s">
        <v>2723</v>
      </c>
      <c r="AB160" t="s">
        <v>2724</v>
      </c>
      <c r="AC160" t="s">
        <v>74</v>
      </c>
      <c r="AD160" t="s">
        <v>74</v>
      </c>
      <c r="AE160" t="s">
        <v>74</v>
      </c>
      <c r="AF160" t="s">
        <v>74</v>
      </c>
      <c r="AG160">
        <v>40</v>
      </c>
      <c r="AH160">
        <v>92</v>
      </c>
      <c r="AI160">
        <v>99</v>
      </c>
      <c r="AJ160">
        <v>1</v>
      </c>
      <c r="AK160">
        <v>64</v>
      </c>
      <c r="AL160" t="s">
        <v>738</v>
      </c>
      <c r="AM160" t="s">
        <v>739</v>
      </c>
      <c r="AN160" t="s">
        <v>740</v>
      </c>
      <c r="AO160" t="s">
        <v>776</v>
      </c>
      <c r="AP160" t="s">
        <v>777</v>
      </c>
      <c r="AQ160" t="s">
        <v>74</v>
      </c>
      <c r="AR160" t="s">
        <v>778</v>
      </c>
      <c r="AS160" t="s">
        <v>779</v>
      </c>
      <c r="AT160" t="s">
        <v>2725</v>
      </c>
      <c r="AU160">
        <v>2005</v>
      </c>
      <c r="AV160">
        <v>272</v>
      </c>
      <c r="AW160">
        <v>1566</v>
      </c>
      <c r="AX160" t="s">
        <v>74</v>
      </c>
      <c r="AY160" t="s">
        <v>74</v>
      </c>
      <c r="AZ160" t="s">
        <v>74</v>
      </c>
      <c r="BA160" t="s">
        <v>74</v>
      </c>
      <c r="BB160">
        <v>887</v>
      </c>
      <c r="BC160">
        <v>895</v>
      </c>
      <c r="BD160" t="s">
        <v>74</v>
      </c>
      <c r="BE160" t="s">
        <v>2726</v>
      </c>
      <c r="BF160" t="str">
        <f>HYPERLINK("http://dx.doi.org/10.1098/rspb.2004.2978","http://dx.doi.org/10.1098/rspb.2004.2978")</f>
        <v>http://dx.doi.org/10.1098/rspb.2004.2978</v>
      </c>
      <c r="BG160" t="s">
        <v>74</v>
      </c>
      <c r="BH160" t="s">
        <v>74</v>
      </c>
      <c r="BI160">
        <v>9</v>
      </c>
      <c r="BJ160" t="s">
        <v>747</v>
      </c>
      <c r="BK160" t="s">
        <v>95</v>
      </c>
      <c r="BL160" t="s">
        <v>748</v>
      </c>
      <c r="BM160" t="s">
        <v>2727</v>
      </c>
      <c r="BN160">
        <v>16024342</v>
      </c>
      <c r="BO160" t="s">
        <v>750</v>
      </c>
      <c r="BP160" t="s">
        <v>74</v>
      </c>
      <c r="BQ160" t="s">
        <v>74</v>
      </c>
      <c r="BR160" t="s">
        <v>97</v>
      </c>
      <c r="BS160" t="s">
        <v>2728</v>
      </c>
      <c r="BT160" t="str">
        <f>HYPERLINK("https%3A%2F%2Fwww.webofscience.com%2Fwos%2Fwoscc%2Ffull-record%2FWOS:000229929300002","View Full Record in Web of Science")</f>
        <v>View Full Record in Web of Science</v>
      </c>
    </row>
    <row r="161" spans="1:72" x14ac:dyDescent="0.15">
      <c r="A161" t="s">
        <v>72</v>
      </c>
      <c r="B161" t="s">
        <v>2729</v>
      </c>
      <c r="C161" t="s">
        <v>74</v>
      </c>
      <c r="D161" t="s">
        <v>74</v>
      </c>
      <c r="E161" t="s">
        <v>74</v>
      </c>
      <c r="F161" t="s">
        <v>2729</v>
      </c>
      <c r="G161" t="s">
        <v>74</v>
      </c>
      <c r="H161" t="s">
        <v>74</v>
      </c>
      <c r="I161" t="s">
        <v>2730</v>
      </c>
      <c r="J161" t="s">
        <v>767</v>
      </c>
      <c r="K161" t="s">
        <v>74</v>
      </c>
      <c r="L161" t="s">
        <v>74</v>
      </c>
      <c r="M161" t="s">
        <v>77</v>
      </c>
      <c r="N161" t="s">
        <v>78</v>
      </c>
      <c r="O161" t="s">
        <v>74</v>
      </c>
      <c r="P161" t="s">
        <v>74</v>
      </c>
      <c r="Q161" t="s">
        <v>74</v>
      </c>
      <c r="R161" t="s">
        <v>74</v>
      </c>
      <c r="S161" t="s">
        <v>74</v>
      </c>
      <c r="T161" t="s">
        <v>2731</v>
      </c>
      <c r="U161" t="s">
        <v>2732</v>
      </c>
      <c r="V161" t="s">
        <v>2733</v>
      </c>
      <c r="W161" t="s">
        <v>2734</v>
      </c>
      <c r="X161" t="s">
        <v>2735</v>
      </c>
      <c r="Y161" t="s">
        <v>2736</v>
      </c>
      <c r="Z161" t="s">
        <v>2737</v>
      </c>
      <c r="AA161" t="s">
        <v>2738</v>
      </c>
      <c r="AB161" t="s">
        <v>2739</v>
      </c>
      <c r="AC161" t="s">
        <v>74</v>
      </c>
      <c r="AD161" t="s">
        <v>74</v>
      </c>
      <c r="AE161" t="s">
        <v>74</v>
      </c>
      <c r="AF161" t="s">
        <v>74</v>
      </c>
      <c r="AG161">
        <v>54</v>
      </c>
      <c r="AH161">
        <v>100</v>
      </c>
      <c r="AI161">
        <v>113</v>
      </c>
      <c r="AJ161">
        <v>4</v>
      </c>
      <c r="AK161">
        <v>41</v>
      </c>
      <c r="AL161" t="s">
        <v>2740</v>
      </c>
      <c r="AM161" t="s">
        <v>739</v>
      </c>
      <c r="AN161" t="s">
        <v>740</v>
      </c>
      <c r="AO161" t="s">
        <v>776</v>
      </c>
      <c r="AP161" t="s">
        <v>74</v>
      </c>
      <c r="AQ161" t="s">
        <v>74</v>
      </c>
      <c r="AR161" t="s">
        <v>778</v>
      </c>
      <c r="AS161" t="s">
        <v>2741</v>
      </c>
      <c r="AT161" t="s">
        <v>2725</v>
      </c>
      <c r="AU161">
        <v>2005</v>
      </c>
      <c r="AV161">
        <v>272</v>
      </c>
      <c r="AW161">
        <v>1566</v>
      </c>
      <c r="AX161" t="s">
        <v>74</v>
      </c>
      <c r="AY161" t="s">
        <v>74</v>
      </c>
      <c r="AZ161" t="s">
        <v>74</v>
      </c>
      <c r="BA161" t="s">
        <v>74</v>
      </c>
      <c r="BB161">
        <v>923</v>
      </c>
      <c r="BC161">
        <v>928</v>
      </c>
      <c r="BD161" t="s">
        <v>74</v>
      </c>
      <c r="BE161" t="s">
        <v>2742</v>
      </c>
      <c r="BF161" t="str">
        <f>HYPERLINK("http://dx.doi.org/10.1098/rspb.2004.3038","http://dx.doi.org/10.1098/rspb.2004.3038")</f>
        <v>http://dx.doi.org/10.1098/rspb.2004.3038</v>
      </c>
      <c r="BG161" t="s">
        <v>74</v>
      </c>
      <c r="BH161" t="s">
        <v>74</v>
      </c>
      <c r="BI161">
        <v>6</v>
      </c>
      <c r="BJ161" t="s">
        <v>747</v>
      </c>
      <c r="BK161" t="s">
        <v>95</v>
      </c>
      <c r="BL161" t="s">
        <v>748</v>
      </c>
      <c r="BM161" t="s">
        <v>2727</v>
      </c>
      <c r="BN161">
        <v>16024347</v>
      </c>
      <c r="BO161" t="s">
        <v>750</v>
      </c>
      <c r="BP161" t="s">
        <v>74</v>
      </c>
      <c r="BQ161" t="s">
        <v>74</v>
      </c>
      <c r="BR161" t="s">
        <v>97</v>
      </c>
      <c r="BS161" t="s">
        <v>2743</v>
      </c>
      <c r="BT161" t="str">
        <f>HYPERLINK("https%3A%2F%2Fwww.webofscience.com%2Fwos%2Fwoscc%2Ffull-record%2FWOS:000229929300007","View Full Record in Web of Science")</f>
        <v>View Full Record in Web of Science</v>
      </c>
    </row>
    <row r="162" spans="1:72" x14ac:dyDescent="0.15">
      <c r="A162" t="s">
        <v>72</v>
      </c>
      <c r="B162" t="s">
        <v>2744</v>
      </c>
      <c r="C162" t="s">
        <v>74</v>
      </c>
      <c r="D162" t="s">
        <v>74</v>
      </c>
      <c r="E162" t="s">
        <v>74</v>
      </c>
      <c r="F162" t="s">
        <v>2744</v>
      </c>
      <c r="G162" t="s">
        <v>74</v>
      </c>
      <c r="H162" t="s">
        <v>74</v>
      </c>
      <c r="I162" t="s">
        <v>2745</v>
      </c>
      <c r="J162" t="s">
        <v>519</v>
      </c>
      <c r="K162" t="s">
        <v>74</v>
      </c>
      <c r="L162" t="s">
        <v>74</v>
      </c>
      <c r="M162" t="s">
        <v>77</v>
      </c>
      <c r="N162" t="s">
        <v>78</v>
      </c>
      <c r="O162" t="s">
        <v>74</v>
      </c>
      <c r="P162" t="s">
        <v>74</v>
      </c>
      <c r="Q162" t="s">
        <v>74</v>
      </c>
      <c r="R162" t="s">
        <v>74</v>
      </c>
      <c r="S162" t="s">
        <v>74</v>
      </c>
      <c r="T162" t="s">
        <v>74</v>
      </c>
      <c r="U162" t="s">
        <v>2746</v>
      </c>
      <c r="V162" t="s">
        <v>2747</v>
      </c>
      <c r="W162" t="s">
        <v>2748</v>
      </c>
      <c r="X162" t="s">
        <v>2749</v>
      </c>
      <c r="Y162" t="s">
        <v>2750</v>
      </c>
      <c r="Z162" t="s">
        <v>2751</v>
      </c>
      <c r="AA162" t="s">
        <v>2752</v>
      </c>
      <c r="AB162" t="s">
        <v>2753</v>
      </c>
      <c r="AC162" t="s">
        <v>74</v>
      </c>
      <c r="AD162" t="s">
        <v>74</v>
      </c>
      <c r="AE162" t="s">
        <v>74</v>
      </c>
      <c r="AF162" t="s">
        <v>74</v>
      </c>
      <c r="AG162">
        <v>17</v>
      </c>
      <c r="AH162">
        <v>90</v>
      </c>
      <c r="AI162">
        <v>99</v>
      </c>
      <c r="AJ162">
        <v>0</v>
      </c>
      <c r="AK162">
        <v>5</v>
      </c>
      <c r="AL162" t="s">
        <v>527</v>
      </c>
      <c r="AM162" t="s">
        <v>528</v>
      </c>
      <c r="AN162" t="s">
        <v>529</v>
      </c>
      <c r="AO162" t="s">
        <v>530</v>
      </c>
      <c r="AP162" t="s">
        <v>74</v>
      </c>
      <c r="AQ162" t="s">
        <v>74</v>
      </c>
      <c r="AR162" t="s">
        <v>532</v>
      </c>
      <c r="AS162" t="s">
        <v>533</v>
      </c>
      <c r="AT162" t="s">
        <v>2754</v>
      </c>
      <c r="AU162">
        <v>2005</v>
      </c>
      <c r="AV162">
        <v>32</v>
      </c>
      <c r="AW162">
        <v>9</v>
      </c>
      <c r="AX162" t="s">
        <v>74</v>
      </c>
      <c r="AY162" t="s">
        <v>74</v>
      </c>
      <c r="AZ162" t="s">
        <v>74</v>
      </c>
      <c r="BA162" t="s">
        <v>74</v>
      </c>
      <c r="BB162" t="s">
        <v>74</v>
      </c>
      <c r="BC162" t="s">
        <v>74</v>
      </c>
      <c r="BD162" t="s">
        <v>2755</v>
      </c>
      <c r="BE162" t="s">
        <v>2756</v>
      </c>
      <c r="BF162" t="str">
        <f>HYPERLINK("http://dx.doi.org/10.1029/2005GL022399","http://dx.doi.org/10.1029/2005GL022399")</f>
        <v>http://dx.doi.org/10.1029/2005GL022399</v>
      </c>
      <c r="BG162" t="s">
        <v>74</v>
      </c>
      <c r="BH162" t="s">
        <v>74</v>
      </c>
      <c r="BI162">
        <v>4</v>
      </c>
      <c r="BJ162" t="s">
        <v>537</v>
      </c>
      <c r="BK162" t="s">
        <v>95</v>
      </c>
      <c r="BL162" t="s">
        <v>307</v>
      </c>
      <c r="BM162" t="s">
        <v>2757</v>
      </c>
      <c r="BN162" t="s">
        <v>74</v>
      </c>
      <c r="BO162" t="s">
        <v>539</v>
      </c>
      <c r="BP162" t="s">
        <v>74</v>
      </c>
      <c r="BQ162" t="s">
        <v>74</v>
      </c>
      <c r="BR162" t="s">
        <v>97</v>
      </c>
      <c r="BS162" t="s">
        <v>2758</v>
      </c>
      <c r="BT162" t="str">
        <f>HYPERLINK("https%3A%2F%2Fwww.webofscience.com%2Fwos%2Fwoscc%2Ffull-record%2FWOS:000229145200005","View Full Record in Web of Science")</f>
        <v>View Full Record in Web of Science</v>
      </c>
    </row>
    <row r="163" spans="1:72" x14ac:dyDescent="0.15">
      <c r="A163" t="s">
        <v>72</v>
      </c>
      <c r="B163" t="s">
        <v>2759</v>
      </c>
      <c r="C163" t="s">
        <v>74</v>
      </c>
      <c r="D163" t="s">
        <v>74</v>
      </c>
      <c r="E163" t="s">
        <v>74</v>
      </c>
      <c r="F163" t="s">
        <v>2759</v>
      </c>
      <c r="G163" t="s">
        <v>74</v>
      </c>
      <c r="H163" t="s">
        <v>74</v>
      </c>
      <c r="I163" t="s">
        <v>2760</v>
      </c>
      <c r="J163" t="s">
        <v>519</v>
      </c>
      <c r="K163" t="s">
        <v>74</v>
      </c>
      <c r="L163" t="s">
        <v>74</v>
      </c>
      <c r="M163" t="s">
        <v>77</v>
      </c>
      <c r="N163" t="s">
        <v>78</v>
      </c>
      <c r="O163" t="s">
        <v>74</v>
      </c>
      <c r="P163" t="s">
        <v>74</v>
      </c>
      <c r="Q163" t="s">
        <v>74</v>
      </c>
      <c r="R163" t="s">
        <v>74</v>
      </c>
      <c r="S163" t="s">
        <v>74</v>
      </c>
      <c r="T163" t="s">
        <v>74</v>
      </c>
      <c r="U163" t="s">
        <v>2761</v>
      </c>
      <c r="V163" t="s">
        <v>2762</v>
      </c>
      <c r="W163" t="s">
        <v>2763</v>
      </c>
      <c r="X163" t="s">
        <v>2764</v>
      </c>
      <c r="Y163" t="s">
        <v>2635</v>
      </c>
      <c r="Z163" t="s">
        <v>2765</v>
      </c>
      <c r="AA163" t="s">
        <v>2766</v>
      </c>
      <c r="AB163" t="s">
        <v>74</v>
      </c>
      <c r="AC163" t="s">
        <v>74</v>
      </c>
      <c r="AD163" t="s">
        <v>74</v>
      </c>
      <c r="AE163" t="s">
        <v>74</v>
      </c>
      <c r="AF163" t="s">
        <v>74</v>
      </c>
      <c r="AG163">
        <v>13</v>
      </c>
      <c r="AH163">
        <v>5</v>
      </c>
      <c r="AI163">
        <v>5</v>
      </c>
      <c r="AJ163">
        <v>0</v>
      </c>
      <c r="AK163">
        <v>7</v>
      </c>
      <c r="AL163" t="s">
        <v>527</v>
      </c>
      <c r="AM163" t="s">
        <v>528</v>
      </c>
      <c r="AN163" t="s">
        <v>529</v>
      </c>
      <c r="AO163" t="s">
        <v>530</v>
      </c>
      <c r="AP163" t="s">
        <v>531</v>
      </c>
      <c r="AQ163" t="s">
        <v>74</v>
      </c>
      <c r="AR163" t="s">
        <v>532</v>
      </c>
      <c r="AS163" t="s">
        <v>533</v>
      </c>
      <c r="AT163" t="s">
        <v>2767</v>
      </c>
      <c r="AU163">
        <v>2005</v>
      </c>
      <c r="AV163">
        <v>32</v>
      </c>
      <c r="AW163">
        <v>9</v>
      </c>
      <c r="AX163" t="s">
        <v>74</v>
      </c>
      <c r="AY163" t="s">
        <v>74</v>
      </c>
      <c r="AZ163" t="s">
        <v>74</v>
      </c>
      <c r="BA163" t="s">
        <v>74</v>
      </c>
      <c r="BB163" t="s">
        <v>74</v>
      </c>
      <c r="BC163" t="s">
        <v>74</v>
      </c>
      <c r="BD163" t="s">
        <v>2768</v>
      </c>
      <c r="BE163" t="s">
        <v>2769</v>
      </c>
      <c r="BF163" t="str">
        <f>HYPERLINK("http://dx.doi.org/10.1029/2004GL021944","http://dx.doi.org/10.1029/2004GL021944")</f>
        <v>http://dx.doi.org/10.1029/2004GL021944</v>
      </c>
      <c r="BG163" t="s">
        <v>74</v>
      </c>
      <c r="BH163" t="s">
        <v>74</v>
      </c>
      <c r="BI163">
        <v>4</v>
      </c>
      <c r="BJ163" t="s">
        <v>537</v>
      </c>
      <c r="BK163" t="s">
        <v>95</v>
      </c>
      <c r="BL163" t="s">
        <v>307</v>
      </c>
      <c r="BM163" t="s">
        <v>2770</v>
      </c>
      <c r="BN163" t="s">
        <v>74</v>
      </c>
      <c r="BO163" t="s">
        <v>539</v>
      </c>
      <c r="BP163" t="s">
        <v>74</v>
      </c>
      <c r="BQ163" t="s">
        <v>74</v>
      </c>
      <c r="BR163" t="s">
        <v>97</v>
      </c>
      <c r="BS163" t="s">
        <v>2771</v>
      </c>
      <c r="BT163" t="str">
        <f>HYPERLINK("https%3A%2F%2Fwww.webofscience.com%2Fwos%2Fwoscc%2Ffull-record%2FWOS:000229145100001","View Full Record in Web of Science")</f>
        <v>View Full Record in Web of Science</v>
      </c>
    </row>
    <row r="164" spans="1:72" x14ac:dyDescent="0.15">
      <c r="A164" t="s">
        <v>72</v>
      </c>
      <c r="B164" t="s">
        <v>2772</v>
      </c>
      <c r="C164" t="s">
        <v>74</v>
      </c>
      <c r="D164" t="s">
        <v>74</v>
      </c>
      <c r="E164" t="s">
        <v>74</v>
      </c>
      <c r="F164" t="s">
        <v>2772</v>
      </c>
      <c r="G164" t="s">
        <v>74</v>
      </c>
      <c r="H164" t="s">
        <v>74</v>
      </c>
      <c r="I164" t="s">
        <v>2773</v>
      </c>
      <c r="J164" t="s">
        <v>2384</v>
      </c>
      <c r="K164" t="s">
        <v>74</v>
      </c>
      <c r="L164" t="s">
        <v>74</v>
      </c>
      <c r="M164" t="s">
        <v>77</v>
      </c>
      <c r="N164" t="s">
        <v>78</v>
      </c>
      <c r="O164" t="s">
        <v>74</v>
      </c>
      <c r="P164" t="s">
        <v>74</v>
      </c>
      <c r="Q164" t="s">
        <v>74</v>
      </c>
      <c r="R164" t="s">
        <v>74</v>
      </c>
      <c r="S164" t="s">
        <v>74</v>
      </c>
      <c r="T164" t="s">
        <v>2774</v>
      </c>
      <c r="U164" t="s">
        <v>2775</v>
      </c>
      <c r="V164" t="s">
        <v>2776</v>
      </c>
      <c r="W164" t="s">
        <v>2777</v>
      </c>
      <c r="X164" t="s">
        <v>2778</v>
      </c>
      <c r="Y164" t="s">
        <v>2779</v>
      </c>
      <c r="Z164" t="s">
        <v>2780</v>
      </c>
      <c r="AA164" t="s">
        <v>74</v>
      </c>
      <c r="AB164" t="s">
        <v>2781</v>
      </c>
      <c r="AC164" t="s">
        <v>2782</v>
      </c>
      <c r="AD164" t="s">
        <v>2639</v>
      </c>
      <c r="AE164" t="s">
        <v>74</v>
      </c>
      <c r="AF164" t="s">
        <v>74</v>
      </c>
      <c r="AG164">
        <v>61</v>
      </c>
      <c r="AH164">
        <v>86</v>
      </c>
      <c r="AI164">
        <v>97</v>
      </c>
      <c r="AJ164">
        <v>0</v>
      </c>
      <c r="AK164">
        <v>33</v>
      </c>
      <c r="AL164" t="s">
        <v>527</v>
      </c>
      <c r="AM164" t="s">
        <v>528</v>
      </c>
      <c r="AN164" t="s">
        <v>529</v>
      </c>
      <c r="AO164" t="s">
        <v>2393</v>
      </c>
      <c r="AP164" t="s">
        <v>74</v>
      </c>
      <c r="AQ164" t="s">
        <v>74</v>
      </c>
      <c r="AR164" t="s">
        <v>2394</v>
      </c>
      <c r="AS164" t="s">
        <v>2395</v>
      </c>
      <c r="AT164" t="s">
        <v>2783</v>
      </c>
      <c r="AU164">
        <v>2005</v>
      </c>
      <c r="AV164">
        <v>6</v>
      </c>
      <c r="AW164" t="s">
        <v>74</v>
      </c>
      <c r="AX164" t="s">
        <v>74</v>
      </c>
      <c r="AY164" t="s">
        <v>74</v>
      </c>
      <c r="AZ164" t="s">
        <v>74</v>
      </c>
      <c r="BA164" t="s">
        <v>74</v>
      </c>
      <c r="BB164" t="s">
        <v>74</v>
      </c>
      <c r="BC164" t="s">
        <v>74</v>
      </c>
      <c r="BD164" t="s">
        <v>2784</v>
      </c>
      <c r="BE164" t="s">
        <v>2785</v>
      </c>
      <c r="BF164" t="str">
        <f>HYPERLINK("http://dx.doi.org/10.1029/2004GC000858","http://dx.doi.org/10.1029/2004GC000858")</f>
        <v>http://dx.doi.org/10.1029/2004GC000858</v>
      </c>
      <c r="BG164" t="s">
        <v>74</v>
      </c>
      <c r="BH164" t="s">
        <v>74</v>
      </c>
      <c r="BI164">
        <v>12</v>
      </c>
      <c r="BJ164" t="s">
        <v>381</v>
      </c>
      <c r="BK164" t="s">
        <v>95</v>
      </c>
      <c r="BL164" t="s">
        <v>381</v>
      </c>
      <c r="BM164" t="s">
        <v>2786</v>
      </c>
      <c r="BN164" t="s">
        <v>74</v>
      </c>
      <c r="BO164" t="s">
        <v>74</v>
      </c>
      <c r="BP164" t="s">
        <v>74</v>
      </c>
      <c r="BQ164" t="s">
        <v>74</v>
      </c>
      <c r="BR164" t="s">
        <v>97</v>
      </c>
      <c r="BS164" t="s">
        <v>2787</v>
      </c>
      <c r="BT164" t="str">
        <f>HYPERLINK("https%3A%2F%2Fwww.webofscience.com%2Fwos%2Fwoscc%2Ffull-record%2FWOS:000229144800001","View Full Record in Web of Science")</f>
        <v>View Full Record in Web of Science</v>
      </c>
    </row>
    <row r="165" spans="1:72" x14ac:dyDescent="0.15">
      <c r="A165" t="s">
        <v>72</v>
      </c>
      <c r="B165" t="s">
        <v>2788</v>
      </c>
      <c r="C165" t="s">
        <v>74</v>
      </c>
      <c r="D165" t="s">
        <v>74</v>
      </c>
      <c r="E165" t="s">
        <v>74</v>
      </c>
      <c r="F165" t="s">
        <v>2788</v>
      </c>
      <c r="G165" t="s">
        <v>74</v>
      </c>
      <c r="H165" t="s">
        <v>74</v>
      </c>
      <c r="I165" t="s">
        <v>2789</v>
      </c>
      <c r="J165" t="s">
        <v>2790</v>
      </c>
      <c r="K165" t="s">
        <v>74</v>
      </c>
      <c r="L165" t="s">
        <v>74</v>
      </c>
      <c r="M165" t="s">
        <v>77</v>
      </c>
      <c r="N165" t="s">
        <v>78</v>
      </c>
      <c r="O165" t="s">
        <v>74</v>
      </c>
      <c r="P165" t="s">
        <v>74</v>
      </c>
      <c r="Q165" t="s">
        <v>74</v>
      </c>
      <c r="R165" t="s">
        <v>74</v>
      </c>
      <c r="S165" t="s">
        <v>74</v>
      </c>
      <c r="T165" t="s">
        <v>2791</v>
      </c>
      <c r="U165" t="s">
        <v>2792</v>
      </c>
      <c r="V165" t="s">
        <v>2793</v>
      </c>
      <c r="W165" t="s">
        <v>2794</v>
      </c>
      <c r="X165" t="s">
        <v>2795</v>
      </c>
      <c r="Y165" t="s">
        <v>2796</v>
      </c>
      <c r="Z165" t="s">
        <v>2797</v>
      </c>
      <c r="AA165" t="s">
        <v>2798</v>
      </c>
      <c r="AB165" t="s">
        <v>2799</v>
      </c>
      <c r="AC165" t="s">
        <v>74</v>
      </c>
      <c r="AD165" t="s">
        <v>74</v>
      </c>
      <c r="AE165" t="s">
        <v>74</v>
      </c>
      <c r="AF165" t="s">
        <v>74</v>
      </c>
      <c r="AG165">
        <v>50</v>
      </c>
      <c r="AH165">
        <v>39</v>
      </c>
      <c r="AI165">
        <v>40</v>
      </c>
      <c r="AJ165">
        <v>1</v>
      </c>
      <c r="AK165">
        <v>18</v>
      </c>
      <c r="AL165" t="s">
        <v>456</v>
      </c>
      <c r="AM165" t="s">
        <v>436</v>
      </c>
      <c r="AN165" t="s">
        <v>457</v>
      </c>
      <c r="AO165" t="s">
        <v>2800</v>
      </c>
      <c r="AP165" t="s">
        <v>74</v>
      </c>
      <c r="AQ165" t="s">
        <v>74</v>
      </c>
      <c r="AR165" t="s">
        <v>2801</v>
      </c>
      <c r="AS165" t="s">
        <v>2802</v>
      </c>
      <c r="AT165" t="s">
        <v>2803</v>
      </c>
      <c r="AU165">
        <v>2005</v>
      </c>
      <c r="AV165">
        <v>95</v>
      </c>
      <c r="AW165" t="s">
        <v>442</v>
      </c>
      <c r="AX165" t="s">
        <v>74</v>
      </c>
      <c r="AY165" t="s">
        <v>74</v>
      </c>
      <c r="AZ165" t="s">
        <v>74</v>
      </c>
      <c r="BA165" t="s">
        <v>74</v>
      </c>
      <c r="BB165">
        <v>51</v>
      </c>
      <c r="BC165">
        <v>63</v>
      </c>
      <c r="BD165" t="s">
        <v>74</v>
      </c>
      <c r="BE165" t="s">
        <v>2804</v>
      </c>
      <c r="BF165" t="str">
        <f>HYPERLINK("http://dx.doi.org/10.1016/j.marchem.2004.06.040","http://dx.doi.org/10.1016/j.marchem.2004.06.040")</f>
        <v>http://dx.doi.org/10.1016/j.marchem.2004.06.040</v>
      </c>
      <c r="BG165" t="s">
        <v>74</v>
      </c>
      <c r="BH165" t="s">
        <v>74</v>
      </c>
      <c r="BI165">
        <v>13</v>
      </c>
      <c r="BJ165" t="s">
        <v>2805</v>
      </c>
      <c r="BK165" t="s">
        <v>95</v>
      </c>
      <c r="BL165" t="s">
        <v>2806</v>
      </c>
      <c r="BM165" t="s">
        <v>2807</v>
      </c>
      <c r="BN165" t="s">
        <v>74</v>
      </c>
      <c r="BO165" t="s">
        <v>750</v>
      </c>
      <c r="BP165" t="s">
        <v>74</v>
      </c>
      <c r="BQ165" t="s">
        <v>74</v>
      </c>
      <c r="BR165" t="s">
        <v>97</v>
      </c>
      <c r="BS165" t="s">
        <v>2808</v>
      </c>
      <c r="BT165" t="str">
        <f>HYPERLINK("https%3A%2F%2Fwww.webofscience.com%2Fwos%2Fwoscc%2Ffull-record%2FWOS:000229531600004","View Full Record in Web of Science")</f>
        <v>View Full Record in Web of Science</v>
      </c>
    </row>
    <row r="166" spans="1:72" x14ac:dyDescent="0.15">
      <c r="A166" t="s">
        <v>72</v>
      </c>
      <c r="B166" t="s">
        <v>2809</v>
      </c>
      <c r="C166" t="s">
        <v>74</v>
      </c>
      <c r="D166" t="s">
        <v>74</v>
      </c>
      <c r="E166" t="s">
        <v>74</v>
      </c>
      <c r="F166" t="s">
        <v>2809</v>
      </c>
      <c r="G166" t="s">
        <v>74</v>
      </c>
      <c r="H166" t="s">
        <v>74</v>
      </c>
      <c r="I166" t="s">
        <v>2810</v>
      </c>
      <c r="J166" t="s">
        <v>2811</v>
      </c>
      <c r="K166" t="s">
        <v>74</v>
      </c>
      <c r="L166" t="s">
        <v>74</v>
      </c>
      <c r="M166" t="s">
        <v>77</v>
      </c>
      <c r="N166" t="s">
        <v>495</v>
      </c>
      <c r="O166" t="s">
        <v>2812</v>
      </c>
      <c r="P166" t="s">
        <v>2813</v>
      </c>
      <c r="Q166" t="s">
        <v>2814</v>
      </c>
      <c r="R166" t="s">
        <v>74</v>
      </c>
      <c r="S166" t="s">
        <v>74</v>
      </c>
      <c r="T166" t="s">
        <v>74</v>
      </c>
      <c r="U166" t="s">
        <v>2815</v>
      </c>
      <c r="V166" t="s">
        <v>2816</v>
      </c>
      <c r="W166" t="s">
        <v>2817</v>
      </c>
      <c r="X166" t="s">
        <v>2818</v>
      </c>
      <c r="Y166" t="s">
        <v>2819</v>
      </c>
      <c r="Z166" t="s">
        <v>2820</v>
      </c>
      <c r="AA166" t="s">
        <v>74</v>
      </c>
      <c r="AB166" t="s">
        <v>2821</v>
      </c>
      <c r="AC166" t="s">
        <v>74</v>
      </c>
      <c r="AD166" t="s">
        <v>74</v>
      </c>
      <c r="AE166" t="s">
        <v>74</v>
      </c>
      <c r="AF166" t="s">
        <v>74</v>
      </c>
      <c r="AG166">
        <v>45</v>
      </c>
      <c r="AH166">
        <v>5</v>
      </c>
      <c r="AI166">
        <v>6</v>
      </c>
      <c r="AJ166">
        <v>1</v>
      </c>
      <c r="AK166">
        <v>16</v>
      </c>
      <c r="AL166" t="s">
        <v>255</v>
      </c>
      <c r="AM166" t="s">
        <v>256</v>
      </c>
      <c r="AN166" t="s">
        <v>257</v>
      </c>
      <c r="AO166" t="s">
        <v>2822</v>
      </c>
      <c r="AP166" t="s">
        <v>2823</v>
      </c>
      <c r="AQ166" t="s">
        <v>74</v>
      </c>
      <c r="AR166" t="s">
        <v>2824</v>
      </c>
      <c r="AS166" t="s">
        <v>2825</v>
      </c>
      <c r="AT166" t="s">
        <v>2826</v>
      </c>
      <c r="AU166">
        <v>2005</v>
      </c>
      <c r="AV166">
        <v>56</v>
      </c>
      <c r="AW166" t="s">
        <v>2827</v>
      </c>
      <c r="AX166" t="s">
        <v>74</v>
      </c>
      <c r="AY166" t="s">
        <v>74</v>
      </c>
      <c r="AZ166" t="s">
        <v>74</v>
      </c>
      <c r="BA166" t="s">
        <v>74</v>
      </c>
      <c r="BB166">
        <v>923</v>
      </c>
      <c r="BC166">
        <v>931</v>
      </c>
      <c r="BD166" t="s">
        <v>74</v>
      </c>
      <c r="BE166" t="s">
        <v>2828</v>
      </c>
      <c r="BF166" t="str">
        <f>HYPERLINK("http://dx.doi.org/10.1016/j.actaastro.2005.01.019","http://dx.doi.org/10.1016/j.actaastro.2005.01.019")</f>
        <v>http://dx.doi.org/10.1016/j.actaastro.2005.01.019</v>
      </c>
      <c r="BG166" t="s">
        <v>74</v>
      </c>
      <c r="BH166" t="s">
        <v>74</v>
      </c>
      <c r="BI166">
        <v>9</v>
      </c>
      <c r="BJ166" t="s">
        <v>2829</v>
      </c>
      <c r="BK166" t="s">
        <v>1287</v>
      </c>
      <c r="BL166" t="s">
        <v>551</v>
      </c>
      <c r="BM166" t="s">
        <v>2830</v>
      </c>
      <c r="BN166">
        <v>15835048</v>
      </c>
      <c r="BO166" t="s">
        <v>74</v>
      </c>
      <c r="BP166" t="s">
        <v>74</v>
      </c>
      <c r="BQ166" t="s">
        <v>74</v>
      </c>
      <c r="BR166" t="s">
        <v>97</v>
      </c>
      <c r="BS166" t="s">
        <v>2831</v>
      </c>
      <c r="BT166" t="str">
        <f>HYPERLINK("https%3A%2F%2Fwww.webofscience.com%2Fwos%2Fwoscc%2Ffull-record%2FWOS:000229063800019","View Full Record in Web of Science")</f>
        <v>View Full Record in Web of Science</v>
      </c>
    </row>
    <row r="167" spans="1:72" x14ac:dyDescent="0.15">
      <c r="A167" t="s">
        <v>72</v>
      </c>
      <c r="B167" t="s">
        <v>2832</v>
      </c>
      <c r="C167" t="s">
        <v>74</v>
      </c>
      <c r="D167" t="s">
        <v>74</v>
      </c>
      <c r="E167" t="s">
        <v>74</v>
      </c>
      <c r="F167" t="s">
        <v>2832</v>
      </c>
      <c r="G167" t="s">
        <v>74</v>
      </c>
      <c r="H167" t="s">
        <v>74</v>
      </c>
      <c r="I167" t="s">
        <v>2833</v>
      </c>
      <c r="J167" t="s">
        <v>2834</v>
      </c>
      <c r="K167" t="s">
        <v>74</v>
      </c>
      <c r="L167" t="s">
        <v>74</v>
      </c>
      <c r="M167" t="s">
        <v>2835</v>
      </c>
      <c r="N167" t="s">
        <v>78</v>
      </c>
      <c r="O167" t="s">
        <v>74</v>
      </c>
      <c r="P167" t="s">
        <v>74</v>
      </c>
      <c r="Q167" t="s">
        <v>74</v>
      </c>
      <c r="R167" t="s">
        <v>74</v>
      </c>
      <c r="S167" t="s">
        <v>74</v>
      </c>
      <c r="T167" t="s">
        <v>2836</v>
      </c>
      <c r="U167" t="s">
        <v>74</v>
      </c>
      <c r="V167" t="s">
        <v>2837</v>
      </c>
      <c r="W167" t="s">
        <v>2838</v>
      </c>
      <c r="X167" t="s">
        <v>2839</v>
      </c>
      <c r="Y167" t="s">
        <v>2840</v>
      </c>
      <c r="Z167" t="s">
        <v>74</v>
      </c>
      <c r="AA167" t="s">
        <v>74</v>
      </c>
      <c r="AB167" t="s">
        <v>74</v>
      </c>
      <c r="AC167" t="s">
        <v>74</v>
      </c>
      <c r="AD167" t="s">
        <v>74</v>
      </c>
      <c r="AE167" t="s">
        <v>74</v>
      </c>
      <c r="AF167" t="s">
        <v>74</v>
      </c>
      <c r="AG167">
        <v>6</v>
      </c>
      <c r="AH167">
        <v>0</v>
      </c>
      <c r="AI167">
        <v>2</v>
      </c>
      <c r="AJ167">
        <v>0</v>
      </c>
      <c r="AK167">
        <v>3</v>
      </c>
      <c r="AL167" t="s">
        <v>2841</v>
      </c>
      <c r="AM167" t="s">
        <v>2842</v>
      </c>
      <c r="AN167" t="s">
        <v>2843</v>
      </c>
      <c r="AO167" t="s">
        <v>2844</v>
      </c>
      <c r="AP167" t="s">
        <v>74</v>
      </c>
      <c r="AQ167" t="s">
        <v>74</v>
      </c>
      <c r="AR167" t="s">
        <v>2845</v>
      </c>
      <c r="AS167" t="s">
        <v>2846</v>
      </c>
      <c r="AT167" t="s">
        <v>2847</v>
      </c>
      <c r="AU167">
        <v>2005</v>
      </c>
      <c r="AV167">
        <v>21</v>
      </c>
      <c r="AW167">
        <v>3</v>
      </c>
      <c r="AX167" t="s">
        <v>74</v>
      </c>
      <c r="AY167" t="s">
        <v>74</v>
      </c>
      <c r="AZ167" t="s">
        <v>74</v>
      </c>
      <c r="BA167" t="s">
        <v>74</v>
      </c>
      <c r="BB167">
        <v>1015</v>
      </c>
      <c r="BC167">
        <v>1028</v>
      </c>
      <c r="BD167" t="s">
        <v>74</v>
      </c>
      <c r="BE167" t="s">
        <v>74</v>
      </c>
      <c r="BF167" t="s">
        <v>74</v>
      </c>
      <c r="BG167" t="s">
        <v>74</v>
      </c>
      <c r="BH167" t="s">
        <v>74</v>
      </c>
      <c r="BI167">
        <v>14</v>
      </c>
      <c r="BJ167" t="s">
        <v>307</v>
      </c>
      <c r="BK167" t="s">
        <v>95</v>
      </c>
      <c r="BL167" t="s">
        <v>307</v>
      </c>
      <c r="BM167" t="s">
        <v>2848</v>
      </c>
      <c r="BN167" t="s">
        <v>74</v>
      </c>
      <c r="BO167" t="s">
        <v>74</v>
      </c>
      <c r="BP167" t="s">
        <v>74</v>
      </c>
      <c r="BQ167" t="s">
        <v>74</v>
      </c>
      <c r="BR167" t="s">
        <v>97</v>
      </c>
      <c r="BS167" t="s">
        <v>2849</v>
      </c>
      <c r="BT167" t="str">
        <f>HYPERLINK("https%3A%2F%2Fwww.webofscience.com%2Fwos%2Fwoscc%2Ffull-record%2FWOS:000231179000040","View Full Record in Web of Science")</f>
        <v>View Full Record in Web of Science</v>
      </c>
    </row>
    <row r="168" spans="1:72" x14ac:dyDescent="0.15">
      <c r="A168" t="s">
        <v>72</v>
      </c>
      <c r="B168" t="s">
        <v>1369</v>
      </c>
      <c r="C168" t="s">
        <v>74</v>
      </c>
      <c r="D168" t="s">
        <v>74</v>
      </c>
      <c r="E168" t="s">
        <v>74</v>
      </c>
      <c r="F168" t="s">
        <v>1369</v>
      </c>
      <c r="G168" t="s">
        <v>74</v>
      </c>
      <c r="H168" t="s">
        <v>74</v>
      </c>
      <c r="I168" t="s">
        <v>2850</v>
      </c>
      <c r="J168" t="s">
        <v>2851</v>
      </c>
      <c r="K168" t="s">
        <v>74</v>
      </c>
      <c r="L168" t="s">
        <v>74</v>
      </c>
      <c r="M168" t="s">
        <v>77</v>
      </c>
      <c r="N168" t="s">
        <v>78</v>
      </c>
      <c r="O168" t="s">
        <v>74</v>
      </c>
      <c r="P168" t="s">
        <v>74</v>
      </c>
      <c r="Q168" t="s">
        <v>74</v>
      </c>
      <c r="R168" t="s">
        <v>74</v>
      </c>
      <c r="S168" t="s">
        <v>74</v>
      </c>
      <c r="T168" t="s">
        <v>2852</v>
      </c>
      <c r="U168" t="s">
        <v>2853</v>
      </c>
      <c r="V168" t="s">
        <v>2854</v>
      </c>
      <c r="W168" t="s">
        <v>1374</v>
      </c>
      <c r="X168" t="s">
        <v>1375</v>
      </c>
      <c r="Y168" t="s">
        <v>1376</v>
      </c>
      <c r="Z168" t="s">
        <v>2855</v>
      </c>
      <c r="AA168" t="s">
        <v>74</v>
      </c>
      <c r="AB168" t="s">
        <v>74</v>
      </c>
      <c r="AC168" t="s">
        <v>74</v>
      </c>
      <c r="AD168" t="s">
        <v>74</v>
      </c>
      <c r="AE168" t="s">
        <v>74</v>
      </c>
      <c r="AF168" t="s">
        <v>74</v>
      </c>
      <c r="AG168">
        <v>66</v>
      </c>
      <c r="AH168">
        <v>33</v>
      </c>
      <c r="AI168">
        <v>40</v>
      </c>
      <c r="AJ168">
        <v>0</v>
      </c>
      <c r="AK168">
        <v>10</v>
      </c>
      <c r="AL168" t="s">
        <v>2856</v>
      </c>
      <c r="AM168" t="s">
        <v>2857</v>
      </c>
      <c r="AN168" t="s">
        <v>2858</v>
      </c>
      <c r="AO168" t="s">
        <v>2859</v>
      </c>
      <c r="AP168" t="s">
        <v>74</v>
      </c>
      <c r="AQ168" t="s">
        <v>74</v>
      </c>
      <c r="AR168" t="s">
        <v>2860</v>
      </c>
      <c r="AS168" t="s">
        <v>2861</v>
      </c>
      <c r="AT168" t="s">
        <v>2847</v>
      </c>
      <c r="AU168">
        <v>2005</v>
      </c>
      <c r="AV168">
        <v>288</v>
      </c>
      <c r="AW168">
        <v>5</v>
      </c>
      <c r="AX168" t="s">
        <v>74</v>
      </c>
      <c r="AY168" t="s">
        <v>74</v>
      </c>
      <c r="AZ168" t="s">
        <v>74</v>
      </c>
      <c r="BA168" t="s">
        <v>74</v>
      </c>
      <c r="BB168" t="s">
        <v>2862</v>
      </c>
      <c r="BC168" t="s">
        <v>2863</v>
      </c>
      <c r="BD168" t="s">
        <v>74</v>
      </c>
      <c r="BE168" t="s">
        <v>2864</v>
      </c>
      <c r="BF168" t="str">
        <f>HYPERLINK("http://dx.doi.org/10.1152/ajpregu.00660.2004","http://dx.doi.org/10.1152/ajpregu.00660.2004")</f>
        <v>http://dx.doi.org/10.1152/ajpregu.00660.2004</v>
      </c>
      <c r="BG168" t="s">
        <v>74</v>
      </c>
      <c r="BH168" t="s">
        <v>74</v>
      </c>
      <c r="BI168">
        <v>8</v>
      </c>
      <c r="BJ168" t="s">
        <v>2865</v>
      </c>
      <c r="BK168" t="s">
        <v>95</v>
      </c>
      <c r="BL168" t="s">
        <v>2865</v>
      </c>
      <c r="BM168" t="s">
        <v>2866</v>
      </c>
      <c r="BN168">
        <v>15637165</v>
      </c>
      <c r="BO168" t="s">
        <v>74</v>
      </c>
      <c r="BP168" t="s">
        <v>74</v>
      </c>
      <c r="BQ168" t="s">
        <v>74</v>
      </c>
      <c r="BR168" t="s">
        <v>97</v>
      </c>
      <c r="BS168" t="s">
        <v>2867</v>
      </c>
      <c r="BT168" t="str">
        <f>HYPERLINK("https%3A%2F%2Fwww.webofscience.com%2Fwos%2Fwoscc%2Ffull-record%2FWOS:000228264500016","View Full Record in Web of Science")</f>
        <v>View Full Record in Web of Science</v>
      </c>
    </row>
    <row r="169" spans="1:72" x14ac:dyDescent="0.15">
      <c r="A169" t="s">
        <v>72</v>
      </c>
      <c r="B169" t="s">
        <v>2868</v>
      </c>
      <c r="C169" t="s">
        <v>74</v>
      </c>
      <c r="D169" t="s">
        <v>74</v>
      </c>
      <c r="E169" t="s">
        <v>74</v>
      </c>
      <c r="F169" t="s">
        <v>2868</v>
      </c>
      <c r="G169" t="s">
        <v>74</v>
      </c>
      <c r="H169" t="s">
        <v>74</v>
      </c>
      <c r="I169" t="s">
        <v>2869</v>
      </c>
      <c r="J169" t="s">
        <v>2870</v>
      </c>
      <c r="K169" t="s">
        <v>74</v>
      </c>
      <c r="L169" t="s">
        <v>74</v>
      </c>
      <c r="M169" t="s">
        <v>77</v>
      </c>
      <c r="N169" t="s">
        <v>78</v>
      </c>
      <c r="O169" t="s">
        <v>74</v>
      </c>
      <c r="P169" t="s">
        <v>74</v>
      </c>
      <c r="Q169" t="s">
        <v>74</v>
      </c>
      <c r="R169" t="s">
        <v>74</v>
      </c>
      <c r="S169" t="s">
        <v>74</v>
      </c>
      <c r="T169" t="s">
        <v>74</v>
      </c>
      <c r="U169" t="s">
        <v>2871</v>
      </c>
      <c r="V169" t="s">
        <v>2872</v>
      </c>
      <c r="W169" t="s">
        <v>2873</v>
      </c>
      <c r="X169" t="s">
        <v>2874</v>
      </c>
      <c r="Y169" t="s">
        <v>2875</v>
      </c>
      <c r="Z169" t="s">
        <v>2876</v>
      </c>
      <c r="AA169" t="s">
        <v>2877</v>
      </c>
      <c r="AB169" t="s">
        <v>2878</v>
      </c>
      <c r="AC169" t="s">
        <v>74</v>
      </c>
      <c r="AD169" t="s">
        <v>74</v>
      </c>
      <c r="AE169" t="s">
        <v>74</v>
      </c>
      <c r="AF169" t="s">
        <v>74</v>
      </c>
      <c r="AG169">
        <v>38</v>
      </c>
      <c r="AH169">
        <v>457</v>
      </c>
      <c r="AI169">
        <v>516</v>
      </c>
      <c r="AJ169">
        <v>2</v>
      </c>
      <c r="AK169">
        <v>98</v>
      </c>
      <c r="AL169" t="s">
        <v>2879</v>
      </c>
      <c r="AM169" t="s">
        <v>528</v>
      </c>
      <c r="AN169" t="s">
        <v>2880</v>
      </c>
      <c r="AO169" t="s">
        <v>2881</v>
      </c>
      <c r="AP169" t="s">
        <v>74</v>
      </c>
      <c r="AQ169" t="s">
        <v>74</v>
      </c>
      <c r="AR169" t="s">
        <v>2882</v>
      </c>
      <c r="AS169" t="s">
        <v>2883</v>
      </c>
      <c r="AT169" t="s">
        <v>2847</v>
      </c>
      <c r="AU169">
        <v>2005</v>
      </c>
      <c r="AV169">
        <v>71</v>
      </c>
      <c r="AW169">
        <v>5</v>
      </c>
      <c r="AX169" t="s">
        <v>74</v>
      </c>
      <c r="AY169" t="s">
        <v>74</v>
      </c>
      <c r="AZ169" t="s">
        <v>74</v>
      </c>
      <c r="BA169" t="s">
        <v>74</v>
      </c>
      <c r="BB169">
        <v>2303</v>
      </c>
      <c r="BC169">
        <v>2309</v>
      </c>
      <c r="BD169" t="s">
        <v>74</v>
      </c>
      <c r="BE169" t="s">
        <v>2884</v>
      </c>
      <c r="BF169" t="str">
        <f>HYPERLINK("http://dx.doi.org/10.1128/AEM.71.5.2303-2309.2005","http://dx.doi.org/10.1128/AEM.71.5.2303-2309.2005")</f>
        <v>http://dx.doi.org/10.1128/AEM.71.5.2303-2309.2005</v>
      </c>
      <c r="BG169" t="s">
        <v>74</v>
      </c>
      <c r="BH169" t="s">
        <v>74</v>
      </c>
      <c r="BI169">
        <v>7</v>
      </c>
      <c r="BJ169" t="s">
        <v>2282</v>
      </c>
      <c r="BK169" t="s">
        <v>95</v>
      </c>
      <c r="BL169" t="s">
        <v>2282</v>
      </c>
      <c r="BM169" t="s">
        <v>2885</v>
      </c>
      <c r="BN169">
        <v>15870315</v>
      </c>
      <c r="BO169" t="s">
        <v>750</v>
      </c>
      <c r="BP169" t="s">
        <v>74</v>
      </c>
      <c r="BQ169" t="s">
        <v>74</v>
      </c>
      <c r="BR169" t="s">
        <v>97</v>
      </c>
      <c r="BS169" t="s">
        <v>2886</v>
      </c>
      <c r="BT169" t="str">
        <f>HYPERLINK("https%3A%2F%2Fwww.webofscience.com%2Fwos%2Fwoscc%2Ffull-record%2FWOS:000229105300015","View Full Record in Web of Science")</f>
        <v>View Full Record in Web of Science</v>
      </c>
    </row>
    <row r="170" spans="1:72" x14ac:dyDescent="0.15">
      <c r="A170" t="s">
        <v>72</v>
      </c>
      <c r="B170" t="s">
        <v>2887</v>
      </c>
      <c r="C170" t="s">
        <v>74</v>
      </c>
      <c r="D170" t="s">
        <v>74</v>
      </c>
      <c r="E170" t="s">
        <v>74</v>
      </c>
      <c r="F170" t="s">
        <v>2887</v>
      </c>
      <c r="G170" t="s">
        <v>74</v>
      </c>
      <c r="H170" t="s">
        <v>74</v>
      </c>
      <c r="I170" t="s">
        <v>2888</v>
      </c>
      <c r="J170" t="s">
        <v>2889</v>
      </c>
      <c r="K170" t="s">
        <v>74</v>
      </c>
      <c r="L170" t="s">
        <v>74</v>
      </c>
      <c r="M170" t="s">
        <v>77</v>
      </c>
      <c r="N170" t="s">
        <v>365</v>
      </c>
      <c r="O170" t="s">
        <v>74</v>
      </c>
      <c r="P170" t="s">
        <v>74</v>
      </c>
      <c r="Q170" t="s">
        <v>74</v>
      </c>
      <c r="R170" t="s">
        <v>74</v>
      </c>
      <c r="S170" t="s">
        <v>74</v>
      </c>
      <c r="T170" t="s">
        <v>2890</v>
      </c>
      <c r="U170" t="s">
        <v>2891</v>
      </c>
      <c r="V170" t="s">
        <v>2892</v>
      </c>
      <c r="W170" t="s">
        <v>2893</v>
      </c>
      <c r="X170" t="s">
        <v>2894</v>
      </c>
      <c r="Y170" t="s">
        <v>2895</v>
      </c>
      <c r="Z170" t="s">
        <v>2896</v>
      </c>
      <c r="AA170" t="s">
        <v>2897</v>
      </c>
      <c r="AB170" t="s">
        <v>74</v>
      </c>
      <c r="AC170" t="s">
        <v>74</v>
      </c>
      <c r="AD170" t="s">
        <v>74</v>
      </c>
      <c r="AE170" t="s">
        <v>74</v>
      </c>
      <c r="AF170" t="s">
        <v>74</v>
      </c>
      <c r="AG170">
        <v>146</v>
      </c>
      <c r="AH170">
        <v>68</v>
      </c>
      <c r="AI170">
        <v>79</v>
      </c>
      <c r="AJ170">
        <v>2</v>
      </c>
      <c r="AK170">
        <v>47</v>
      </c>
      <c r="AL170" t="s">
        <v>2898</v>
      </c>
      <c r="AM170" t="s">
        <v>2899</v>
      </c>
      <c r="AN170" t="s">
        <v>2900</v>
      </c>
      <c r="AO170" t="s">
        <v>2901</v>
      </c>
      <c r="AP170" t="s">
        <v>2902</v>
      </c>
      <c r="AQ170" t="s">
        <v>74</v>
      </c>
      <c r="AR170" t="s">
        <v>2903</v>
      </c>
      <c r="AS170" t="s">
        <v>2904</v>
      </c>
      <c r="AT170" t="s">
        <v>2847</v>
      </c>
      <c r="AU170">
        <v>2005</v>
      </c>
      <c r="AV170">
        <v>40</v>
      </c>
      <c r="AW170">
        <v>2</v>
      </c>
      <c r="AX170" t="s">
        <v>74</v>
      </c>
      <c r="AY170" t="s">
        <v>74</v>
      </c>
      <c r="AZ170" t="s">
        <v>74</v>
      </c>
      <c r="BA170" t="s">
        <v>74</v>
      </c>
      <c r="BB170">
        <v>199</v>
      </c>
      <c r="BC170">
        <v>211</v>
      </c>
      <c r="BD170" t="s">
        <v>74</v>
      </c>
      <c r="BE170" t="s">
        <v>2905</v>
      </c>
      <c r="BF170" t="str">
        <f>HYPERLINK("http://dx.doi.org/10.1303/aez.2005.199","http://dx.doi.org/10.1303/aez.2005.199")</f>
        <v>http://dx.doi.org/10.1303/aez.2005.199</v>
      </c>
      <c r="BG170" t="s">
        <v>74</v>
      </c>
      <c r="BH170" t="s">
        <v>74</v>
      </c>
      <c r="BI170">
        <v>13</v>
      </c>
      <c r="BJ170" t="s">
        <v>2143</v>
      </c>
      <c r="BK170" t="s">
        <v>95</v>
      </c>
      <c r="BL170" t="s">
        <v>2143</v>
      </c>
      <c r="BM170" t="s">
        <v>2906</v>
      </c>
      <c r="BN170" t="s">
        <v>74</v>
      </c>
      <c r="BO170" t="s">
        <v>539</v>
      </c>
      <c r="BP170" t="s">
        <v>74</v>
      </c>
      <c r="BQ170" t="s">
        <v>74</v>
      </c>
      <c r="BR170" t="s">
        <v>97</v>
      </c>
      <c r="BS170" t="s">
        <v>2907</v>
      </c>
      <c r="BT170" t="str">
        <f>HYPERLINK("https%3A%2F%2Fwww.webofscience.com%2Fwos%2Fwoscc%2Ffull-record%2FWOS:000230665700001","View Full Record in Web of Science")</f>
        <v>View Full Record in Web of Science</v>
      </c>
    </row>
    <row r="171" spans="1:72" x14ac:dyDescent="0.15">
      <c r="A171" t="s">
        <v>72</v>
      </c>
      <c r="B171" t="s">
        <v>2908</v>
      </c>
      <c r="C171" t="s">
        <v>74</v>
      </c>
      <c r="D171" t="s">
        <v>74</v>
      </c>
      <c r="E171" t="s">
        <v>74</v>
      </c>
      <c r="F171" t="s">
        <v>2908</v>
      </c>
      <c r="G171" t="s">
        <v>74</v>
      </c>
      <c r="H171" t="s">
        <v>74</v>
      </c>
      <c r="I171" t="s">
        <v>2909</v>
      </c>
      <c r="J171" t="s">
        <v>2910</v>
      </c>
      <c r="K171" t="s">
        <v>74</v>
      </c>
      <c r="L171" t="s">
        <v>74</v>
      </c>
      <c r="M171" t="s">
        <v>77</v>
      </c>
      <c r="N171" t="s">
        <v>78</v>
      </c>
      <c r="O171" t="s">
        <v>74</v>
      </c>
      <c r="P171" t="s">
        <v>74</v>
      </c>
      <c r="Q171" t="s">
        <v>74</v>
      </c>
      <c r="R171" t="s">
        <v>74</v>
      </c>
      <c r="S171" t="s">
        <v>74</v>
      </c>
      <c r="T171" t="s">
        <v>2911</v>
      </c>
      <c r="U171" t="s">
        <v>2912</v>
      </c>
      <c r="V171" t="s">
        <v>2913</v>
      </c>
      <c r="W171" t="s">
        <v>2914</v>
      </c>
      <c r="X171" t="s">
        <v>2915</v>
      </c>
      <c r="Y171" t="s">
        <v>2916</v>
      </c>
      <c r="Z171" t="s">
        <v>2917</v>
      </c>
      <c r="AA171" t="s">
        <v>2918</v>
      </c>
      <c r="AB171" t="s">
        <v>2919</v>
      </c>
      <c r="AC171" t="s">
        <v>74</v>
      </c>
      <c r="AD171" t="s">
        <v>74</v>
      </c>
      <c r="AE171" t="s">
        <v>74</v>
      </c>
      <c r="AF171" t="s">
        <v>74</v>
      </c>
      <c r="AG171">
        <v>30</v>
      </c>
      <c r="AH171">
        <v>46</v>
      </c>
      <c r="AI171">
        <v>47</v>
      </c>
      <c r="AJ171">
        <v>0</v>
      </c>
      <c r="AK171">
        <v>16</v>
      </c>
      <c r="AL171" t="s">
        <v>255</v>
      </c>
      <c r="AM171" t="s">
        <v>256</v>
      </c>
      <c r="AN171" t="s">
        <v>257</v>
      </c>
      <c r="AO171" t="s">
        <v>2920</v>
      </c>
      <c r="AP171" t="s">
        <v>74</v>
      </c>
      <c r="AQ171" t="s">
        <v>74</v>
      </c>
      <c r="AR171" t="s">
        <v>2921</v>
      </c>
      <c r="AS171" t="s">
        <v>2922</v>
      </c>
      <c r="AT171" t="s">
        <v>2847</v>
      </c>
      <c r="AU171">
        <v>2005</v>
      </c>
      <c r="AV171">
        <v>62</v>
      </c>
      <c r="AW171">
        <v>5</v>
      </c>
      <c r="AX171" t="s">
        <v>74</v>
      </c>
      <c r="AY171" t="s">
        <v>74</v>
      </c>
      <c r="AZ171" t="s">
        <v>74</v>
      </c>
      <c r="BA171" t="s">
        <v>74</v>
      </c>
      <c r="BB171">
        <v>809</v>
      </c>
      <c r="BC171">
        <v>816</v>
      </c>
      <c r="BD171" t="s">
        <v>74</v>
      </c>
      <c r="BE171" t="s">
        <v>2923</v>
      </c>
      <c r="BF171" t="str">
        <f>HYPERLINK("http://dx.doi.org/10.1016/j.apradiso.2004.11.007","http://dx.doi.org/10.1016/j.apradiso.2004.11.007")</f>
        <v>http://dx.doi.org/10.1016/j.apradiso.2004.11.007</v>
      </c>
      <c r="BG171" t="s">
        <v>74</v>
      </c>
      <c r="BH171" t="s">
        <v>74</v>
      </c>
      <c r="BI171">
        <v>8</v>
      </c>
      <c r="BJ171" t="s">
        <v>2924</v>
      </c>
      <c r="BK171" t="s">
        <v>95</v>
      </c>
      <c r="BL171" t="s">
        <v>2925</v>
      </c>
      <c r="BM171" t="s">
        <v>2926</v>
      </c>
      <c r="BN171">
        <v>15763489</v>
      </c>
      <c r="BO171" t="s">
        <v>143</v>
      </c>
      <c r="BP171" t="s">
        <v>74</v>
      </c>
      <c r="BQ171" t="s">
        <v>74</v>
      </c>
      <c r="BR171" t="s">
        <v>97</v>
      </c>
      <c r="BS171" t="s">
        <v>2927</v>
      </c>
      <c r="BT171" t="str">
        <f>HYPERLINK("https%3A%2F%2Fwww.webofscience.com%2Fwos%2Fwoscc%2Ffull-record%2FWOS:000227926300018","View Full Record in Web of Science")</f>
        <v>View Full Record in Web of Science</v>
      </c>
    </row>
    <row r="172" spans="1:72" x14ac:dyDescent="0.15">
      <c r="A172" t="s">
        <v>72</v>
      </c>
      <c r="B172" t="s">
        <v>2928</v>
      </c>
      <c r="C172" t="s">
        <v>74</v>
      </c>
      <c r="D172" t="s">
        <v>74</v>
      </c>
      <c r="E172" t="s">
        <v>74</v>
      </c>
      <c r="F172" t="s">
        <v>2928</v>
      </c>
      <c r="G172" t="s">
        <v>74</v>
      </c>
      <c r="H172" t="s">
        <v>74</v>
      </c>
      <c r="I172" t="s">
        <v>2929</v>
      </c>
      <c r="J172" t="s">
        <v>2930</v>
      </c>
      <c r="K172" t="s">
        <v>74</v>
      </c>
      <c r="L172" t="s">
        <v>74</v>
      </c>
      <c r="M172" t="s">
        <v>77</v>
      </c>
      <c r="N172" t="s">
        <v>78</v>
      </c>
      <c r="O172" t="s">
        <v>74</v>
      </c>
      <c r="P172" t="s">
        <v>74</v>
      </c>
      <c r="Q172" t="s">
        <v>74</v>
      </c>
      <c r="R172" t="s">
        <v>74</v>
      </c>
      <c r="S172" t="s">
        <v>74</v>
      </c>
      <c r="T172" t="s">
        <v>2931</v>
      </c>
      <c r="U172" t="s">
        <v>2932</v>
      </c>
      <c r="V172" t="s">
        <v>2933</v>
      </c>
      <c r="W172" t="s">
        <v>2934</v>
      </c>
      <c r="X172" t="s">
        <v>2935</v>
      </c>
      <c r="Y172" t="s">
        <v>2936</v>
      </c>
      <c r="Z172" t="s">
        <v>2937</v>
      </c>
      <c r="AA172" t="s">
        <v>74</v>
      </c>
      <c r="AB172" t="s">
        <v>74</v>
      </c>
      <c r="AC172" t="s">
        <v>74</v>
      </c>
      <c r="AD172" t="s">
        <v>74</v>
      </c>
      <c r="AE172" t="s">
        <v>74</v>
      </c>
      <c r="AF172" t="s">
        <v>74</v>
      </c>
      <c r="AG172">
        <v>30</v>
      </c>
      <c r="AH172">
        <v>29</v>
      </c>
      <c r="AI172">
        <v>31</v>
      </c>
      <c r="AJ172">
        <v>1</v>
      </c>
      <c r="AK172">
        <v>14</v>
      </c>
      <c r="AL172" t="s">
        <v>133</v>
      </c>
      <c r="AM172" t="s">
        <v>134</v>
      </c>
      <c r="AN172" t="s">
        <v>181</v>
      </c>
      <c r="AO172" t="s">
        <v>2938</v>
      </c>
      <c r="AP172" t="s">
        <v>2939</v>
      </c>
      <c r="AQ172" t="s">
        <v>74</v>
      </c>
      <c r="AR172" t="s">
        <v>2940</v>
      </c>
      <c r="AS172" t="s">
        <v>2941</v>
      </c>
      <c r="AT172" t="s">
        <v>2847</v>
      </c>
      <c r="AU172">
        <v>2005</v>
      </c>
      <c r="AV172">
        <v>183</v>
      </c>
      <c r="AW172">
        <v>4</v>
      </c>
      <c r="AX172" t="s">
        <v>74</v>
      </c>
      <c r="AY172" t="s">
        <v>74</v>
      </c>
      <c r="AZ172" t="s">
        <v>74</v>
      </c>
      <c r="BA172" t="s">
        <v>74</v>
      </c>
      <c r="BB172">
        <v>301</v>
      </c>
      <c r="BC172">
        <v>305</v>
      </c>
      <c r="BD172" t="s">
        <v>74</v>
      </c>
      <c r="BE172" t="s">
        <v>2942</v>
      </c>
      <c r="BF172" t="str">
        <f>HYPERLINK("http://dx.doi.org/10.1007/s00203-005-0772-y","http://dx.doi.org/10.1007/s00203-005-0772-y")</f>
        <v>http://dx.doi.org/10.1007/s00203-005-0772-y</v>
      </c>
      <c r="BG172" t="s">
        <v>74</v>
      </c>
      <c r="BH172" t="s">
        <v>74</v>
      </c>
      <c r="BI172">
        <v>5</v>
      </c>
      <c r="BJ172" t="s">
        <v>1507</v>
      </c>
      <c r="BK172" t="s">
        <v>95</v>
      </c>
      <c r="BL172" t="s">
        <v>1507</v>
      </c>
      <c r="BM172" t="s">
        <v>2943</v>
      </c>
      <c r="BN172">
        <v>15834596</v>
      </c>
      <c r="BO172" t="s">
        <v>74</v>
      </c>
      <c r="BP172" t="s">
        <v>74</v>
      </c>
      <c r="BQ172" t="s">
        <v>74</v>
      </c>
      <c r="BR172" t="s">
        <v>97</v>
      </c>
      <c r="BS172" t="s">
        <v>2944</v>
      </c>
      <c r="BT172" t="str">
        <f>HYPERLINK("https%3A%2F%2Fwww.webofscience.com%2Fwos%2Fwoscc%2Ffull-record%2FWOS:000229096200009","View Full Record in Web of Science")</f>
        <v>View Full Record in Web of Science</v>
      </c>
    </row>
    <row r="173" spans="1:72" x14ac:dyDescent="0.15">
      <c r="A173" t="s">
        <v>72</v>
      </c>
      <c r="B173" t="s">
        <v>2945</v>
      </c>
      <c r="C173" t="s">
        <v>74</v>
      </c>
      <c r="D173" t="s">
        <v>74</v>
      </c>
      <c r="E173" t="s">
        <v>74</v>
      </c>
      <c r="F173" t="s">
        <v>2945</v>
      </c>
      <c r="G173" t="s">
        <v>74</v>
      </c>
      <c r="H173" t="s">
        <v>74</v>
      </c>
      <c r="I173" t="s">
        <v>2946</v>
      </c>
      <c r="J173" t="s">
        <v>2947</v>
      </c>
      <c r="K173" t="s">
        <v>74</v>
      </c>
      <c r="L173" t="s">
        <v>74</v>
      </c>
      <c r="M173" t="s">
        <v>77</v>
      </c>
      <c r="N173" t="s">
        <v>78</v>
      </c>
      <c r="O173" t="s">
        <v>74</v>
      </c>
      <c r="P173" t="s">
        <v>74</v>
      </c>
      <c r="Q173" t="s">
        <v>74</v>
      </c>
      <c r="R173" t="s">
        <v>74</v>
      </c>
      <c r="S173" t="s">
        <v>74</v>
      </c>
      <c r="T173" t="s">
        <v>74</v>
      </c>
      <c r="U173" t="s">
        <v>2948</v>
      </c>
      <c r="V173" t="s">
        <v>2949</v>
      </c>
      <c r="W173" t="s">
        <v>2950</v>
      </c>
      <c r="X173" t="s">
        <v>2951</v>
      </c>
      <c r="Y173" t="s">
        <v>2952</v>
      </c>
      <c r="Z173" t="s">
        <v>2953</v>
      </c>
      <c r="AA173" t="s">
        <v>2954</v>
      </c>
      <c r="AB173" t="s">
        <v>74</v>
      </c>
      <c r="AC173" t="s">
        <v>74</v>
      </c>
      <c r="AD173" t="s">
        <v>74</v>
      </c>
      <c r="AE173" t="s">
        <v>74</v>
      </c>
      <c r="AF173" t="s">
        <v>74</v>
      </c>
      <c r="AG173">
        <v>21</v>
      </c>
      <c r="AH173">
        <v>10</v>
      </c>
      <c r="AI173">
        <v>11</v>
      </c>
      <c r="AJ173">
        <v>1</v>
      </c>
      <c r="AK173">
        <v>24</v>
      </c>
      <c r="AL173" t="s">
        <v>2955</v>
      </c>
      <c r="AM173" t="s">
        <v>1630</v>
      </c>
      <c r="AN173" t="s">
        <v>2956</v>
      </c>
      <c r="AO173" t="s">
        <v>2957</v>
      </c>
      <c r="AP173" t="s">
        <v>2958</v>
      </c>
      <c r="AQ173" t="s">
        <v>74</v>
      </c>
      <c r="AR173" t="s">
        <v>2959</v>
      </c>
      <c r="AS173" t="s">
        <v>2960</v>
      </c>
      <c r="AT173" t="s">
        <v>2847</v>
      </c>
      <c r="AU173">
        <v>2005</v>
      </c>
      <c r="AV173">
        <v>37</v>
      </c>
      <c r="AW173">
        <v>2</v>
      </c>
      <c r="AX173" t="s">
        <v>74</v>
      </c>
      <c r="AY173" t="s">
        <v>74</v>
      </c>
      <c r="AZ173" t="s">
        <v>74</v>
      </c>
      <c r="BA173" t="s">
        <v>74</v>
      </c>
      <c r="BB173">
        <v>139</v>
      </c>
      <c r="BC173">
        <v>145</v>
      </c>
      <c r="BD173" t="s">
        <v>74</v>
      </c>
      <c r="BE173" t="s">
        <v>2961</v>
      </c>
      <c r="BF173" t="str">
        <f>HYPERLINK("http://dx.doi.org/10.1657/1523-0430(2005)037[0139:ITSOGE]2.0.CO;2","http://dx.doi.org/10.1657/1523-0430(2005)037[0139:ITSOGE]2.0.CO;2")</f>
        <v>http://dx.doi.org/10.1657/1523-0430(2005)037[0139:ITSOGE]2.0.CO;2</v>
      </c>
      <c r="BG173" t="s">
        <v>74</v>
      </c>
      <c r="BH173" t="s">
        <v>74</v>
      </c>
      <c r="BI173">
        <v>7</v>
      </c>
      <c r="BJ173" t="s">
        <v>2962</v>
      </c>
      <c r="BK173" t="s">
        <v>95</v>
      </c>
      <c r="BL173" t="s">
        <v>2963</v>
      </c>
      <c r="BM173" t="s">
        <v>2964</v>
      </c>
      <c r="BN173" t="s">
        <v>74</v>
      </c>
      <c r="BO173" t="s">
        <v>143</v>
      </c>
      <c r="BP173" t="s">
        <v>74</v>
      </c>
      <c r="BQ173" t="s">
        <v>74</v>
      </c>
      <c r="BR173" t="s">
        <v>97</v>
      </c>
      <c r="BS173" t="s">
        <v>2965</v>
      </c>
      <c r="BT173" t="str">
        <f>HYPERLINK("https%3A%2F%2Fwww.webofscience.com%2Fwos%2Fwoscc%2Ffull-record%2FWOS:000229484200001","View Full Record in Web of Science")</f>
        <v>View Full Record in Web of Science</v>
      </c>
    </row>
    <row r="174" spans="1:72" x14ac:dyDescent="0.15">
      <c r="A174" t="s">
        <v>72</v>
      </c>
      <c r="B174" t="s">
        <v>2966</v>
      </c>
      <c r="C174" t="s">
        <v>74</v>
      </c>
      <c r="D174" t="s">
        <v>74</v>
      </c>
      <c r="E174" t="s">
        <v>74</v>
      </c>
      <c r="F174" t="s">
        <v>2966</v>
      </c>
      <c r="G174" t="s">
        <v>74</v>
      </c>
      <c r="H174" t="s">
        <v>74</v>
      </c>
      <c r="I174" t="s">
        <v>2967</v>
      </c>
      <c r="J174" t="s">
        <v>2947</v>
      </c>
      <c r="K174" t="s">
        <v>74</v>
      </c>
      <c r="L174" t="s">
        <v>74</v>
      </c>
      <c r="M174" t="s">
        <v>77</v>
      </c>
      <c r="N174" t="s">
        <v>78</v>
      </c>
      <c r="O174" t="s">
        <v>74</v>
      </c>
      <c r="P174" t="s">
        <v>74</v>
      </c>
      <c r="Q174" t="s">
        <v>74</v>
      </c>
      <c r="R174" t="s">
        <v>74</v>
      </c>
      <c r="S174" t="s">
        <v>74</v>
      </c>
      <c r="T174" t="s">
        <v>74</v>
      </c>
      <c r="U174" t="s">
        <v>2968</v>
      </c>
      <c r="V174" t="s">
        <v>2969</v>
      </c>
      <c r="W174" t="s">
        <v>2970</v>
      </c>
      <c r="X174" t="s">
        <v>2971</v>
      </c>
      <c r="Y174" t="s">
        <v>2972</v>
      </c>
      <c r="Z174" t="s">
        <v>2973</v>
      </c>
      <c r="AA174" t="s">
        <v>2974</v>
      </c>
      <c r="AB174" t="s">
        <v>2975</v>
      </c>
      <c r="AC174" t="s">
        <v>74</v>
      </c>
      <c r="AD174" t="s">
        <v>74</v>
      </c>
      <c r="AE174" t="s">
        <v>74</v>
      </c>
      <c r="AF174" t="s">
        <v>74</v>
      </c>
      <c r="AG174">
        <v>53</v>
      </c>
      <c r="AH174">
        <v>24</v>
      </c>
      <c r="AI174">
        <v>25</v>
      </c>
      <c r="AJ174">
        <v>0</v>
      </c>
      <c r="AK174">
        <v>6</v>
      </c>
      <c r="AL174" t="s">
        <v>394</v>
      </c>
      <c r="AM174" t="s">
        <v>395</v>
      </c>
      <c r="AN174" t="s">
        <v>396</v>
      </c>
      <c r="AO174" t="s">
        <v>2957</v>
      </c>
      <c r="AP174" t="s">
        <v>2958</v>
      </c>
      <c r="AQ174" t="s">
        <v>74</v>
      </c>
      <c r="AR174" t="s">
        <v>2959</v>
      </c>
      <c r="AS174" t="s">
        <v>2960</v>
      </c>
      <c r="AT174" t="s">
        <v>2847</v>
      </c>
      <c r="AU174">
        <v>2005</v>
      </c>
      <c r="AV174">
        <v>37</v>
      </c>
      <c r="AW174">
        <v>2</v>
      </c>
      <c r="AX174" t="s">
        <v>74</v>
      </c>
      <c r="AY174" t="s">
        <v>74</v>
      </c>
      <c r="AZ174" t="s">
        <v>74</v>
      </c>
      <c r="BA174" t="s">
        <v>74</v>
      </c>
      <c r="BB174">
        <v>146</v>
      </c>
      <c r="BC174">
        <v>156</v>
      </c>
      <c r="BD174" t="s">
        <v>74</v>
      </c>
      <c r="BE174" t="s">
        <v>2976</v>
      </c>
      <c r="BF174" t="str">
        <f>HYPERLINK("http://dx.doi.org/10.1657/1523-0430(2005)037[0146:DOTCIK]2.0.CO;2","http://dx.doi.org/10.1657/1523-0430(2005)037[0146:DOTCIK]2.0.CO;2")</f>
        <v>http://dx.doi.org/10.1657/1523-0430(2005)037[0146:DOTCIK]2.0.CO;2</v>
      </c>
      <c r="BG174" t="s">
        <v>74</v>
      </c>
      <c r="BH174" t="s">
        <v>74</v>
      </c>
      <c r="BI174">
        <v>11</v>
      </c>
      <c r="BJ174" t="s">
        <v>2962</v>
      </c>
      <c r="BK174" t="s">
        <v>95</v>
      </c>
      <c r="BL174" t="s">
        <v>2963</v>
      </c>
      <c r="BM174" t="s">
        <v>2964</v>
      </c>
      <c r="BN174" t="s">
        <v>74</v>
      </c>
      <c r="BO174" t="s">
        <v>143</v>
      </c>
      <c r="BP174" t="s">
        <v>74</v>
      </c>
      <c r="BQ174" t="s">
        <v>74</v>
      </c>
      <c r="BR174" t="s">
        <v>97</v>
      </c>
      <c r="BS174" t="s">
        <v>2977</v>
      </c>
      <c r="BT174" t="str">
        <f>HYPERLINK("https%3A%2F%2Fwww.webofscience.com%2Fwos%2Fwoscc%2Ffull-record%2FWOS:000229484200002","View Full Record in Web of Science")</f>
        <v>View Full Record in Web of Science</v>
      </c>
    </row>
    <row r="175" spans="1:72" x14ac:dyDescent="0.15">
      <c r="A175" t="s">
        <v>72</v>
      </c>
      <c r="B175" t="s">
        <v>2978</v>
      </c>
      <c r="C175" t="s">
        <v>74</v>
      </c>
      <c r="D175" t="s">
        <v>74</v>
      </c>
      <c r="E175" t="s">
        <v>74</v>
      </c>
      <c r="F175" t="s">
        <v>2978</v>
      </c>
      <c r="G175" t="s">
        <v>74</v>
      </c>
      <c r="H175" t="s">
        <v>74</v>
      </c>
      <c r="I175" t="s">
        <v>2979</v>
      </c>
      <c r="J175" t="s">
        <v>2947</v>
      </c>
      <c r="K175" t="s">
        <v>74</v>
      </c>
      <c r="L175" t="s">
        <v>74</v>
      </c>
      <c r="M175" t="s">
        <v>77</v>
      </c>
      <c r="N175" t="s">
        <v>78</v>
      </c>
      <c r="O175" t="s">
        <v>74</v>
      </c>
      <c r="P175" t="s">
        <v>74</v>
      </c>
      <c r="Q175" t="s">
        <v>74</v>
      </c>
      <c r="R175" t="s">
        <v>74</v>
      </c>
      <c r="S175" t="s">
        <v>74</v>
      </c>
      <c r="T175" t="s">
        <v>74</v>
      </c>
      <c r="U175" t="s">
        <v>2980</v>
      </c>
      <c r="V175" t="s">
        <v>2981</v>
      </c>
      <c r="W175" t="s">
        <v>2982</v>
      </c>
      <c r="X175" t="s">
        <v>2983</v>
      </c>
      <c r="Y175" t="s">
        <v>2984</v>
      </c>
      <c r="Z175" t="s">
        <v>2985</v>
      </c>
      <c r="AA175" t="s">
        <v>2986</v>
      </c>
      <c r="AB175" t="s">
        <v>2987</v>
      </c>
      <c r="AC175" t="s">
        <v>74</v>
      </c>
      <c r="AD175" t="s">
        <v>74</v>
      </c>
      <c r="AE175" t="s">
        <v>74</v>
      </c>
      <c r="AF175" t="s">
        <v>74</v>
      </c>
      <c r="AG175">
        <v>19</v>
      </c>
      <c r="AH175">
        <v>39</v>
      </c>
      <c r="AI175">
        <v>47</v>
      </c>
      <c r="AJ175">
        <v>0</v>
      </c>
      <c r="AK175">
        <v>8</v>
      </c>
      <c r="AL175" t="s">
        <v>394</v>
      </c>
      <c r="AM175" t="s">
        <v>395</v>
      </c>
      <c r="AN175" t="s">
        <v>396</v>
      </c>
      <c r="AO175" t="s">
        <v>2957</v>
      </c>
      <c r="AP175" t="s">
        <v>2958</v>
      </c>
      <c r="AQ175" t="s">
        <v>74</v>
      </c>
      <c r="AR175" t="s">
        <v>2959</v>
      </c>
      <c r="AS175" t="s">
        <v>2960</v>
      </c>
      <c r="AT175" t="s">
        <v>2847</v>
      </c>
      <c r="AU175">
        <v>2005</v>
      </c>
      <c r="AV175">
        <v>37</v>
      </c>
      <c r="AW175">
        <v>2</v>
      </c>
      <c r="AX175" t="s">
        <v>74</v>
      </c>
      <c r="AY175" t="s">
        <v>74</v>
      </c>
      <c r="AZ175" t="s">
        <v>74</v>
      </c>
      <c r="BA175" t="s">
        <v>74</v>
      </c>
      <c r="BB175">
        <v>157</v>
      </c>
      <c r="BC175">
        <v>162</v>
      </c>
      <c r="BD175" t="s">
        <v>74</v>
      </c>
      <c r="BE175" t="s">
        <v>2988</v>
      </c>
      <c r="BF175" t="str">
        <f>HYPERLINK("http://dx.doi.org/10.1657/1523-0430(2005)037[0157:AOIARC]2.0.CO;2","http://dx.doi.org/10.1657/1523-0430(2005)037[0157:AOIARC]2.0.CO;2")</f>
        <v>http://dx.doi.org/10.1657/1523-0430(2005)037[0157:AOIARC]2.0.CO;2</v>
      </c>
      <c r="BG175" t="s">
        <v>74</v>
      </c>
      <c r="BH175" t="s">
        <v>74</v>
      </c>
      <c r="BI175">
        <v>6</v>
      </c>
      <c r="BJ175" t="s">
        <v>2962</v>
      </c>
      <c r="BK175" t="s">
        <v>95</v>
      </c>
      <c r="BL175" t="s">
        <v>2963</v>
      </c>
      <c r="BM175" t="s">
        <v>2964</v>
      </c>
      <c r="BN175" t="s">
        <v>74</v>
      </c>
      <c r="BO175" t="s">
        <v>143</v>
      </c>
      <c r="BP175" t="s">
        <v>74</v>
      </c>
      <c r="BQ175" t="s">
        <v>74</v>
      </c>
      <c r="BR175" t="s">
        <v>97</v>
      </c>
      <c r="BS175" t="s">
        <v>2989</v>
      </c>
      <c r="BT175" t="str">
        <f>HYPERLINK("https%3A%2F%2Fwww.webofscience.com%2Fwos%2Fwoscc%2Ffull-record%2FWOS:000229484200003","View Full Record in Web of Science")</f>
        <v>View Full Record in Web of Science</v>
      </c>
    </row>
    <row r="176" spans="1:72" x14ac:dyDescent="0.15">
      <c r="A176" t="s">
        <v>72</v>
      </c>
      <c r="B176" t="s">
        <v>2990</v>
      </c>
      <c r="C176" t="s">
        <v>74</v>
      </c>
      <c r="D176" t="s">
        <v>74</v>
      </c>
      <c r="E176" t="s">
        <v>74</v>
      </c>
      <c r="F176" t="s">
        <v>2990</v>
      </c>
      <c r="G176" t="s">
        <v>74</v>
      </c>
      <c r="H176" t="s">
        <v>74</v>
      </c>
      <c r="I176" t="s">
        <v>2991</v>
      </c>
      <c r="J176" t="s">
        <v>2947</v>
      </c>
      <c r="K176" t="s">
        <v>74</v>
      </c>
      <c r="L176" t="s">
        <v>74</v>
      </c>
      <c r="M176" t="s">
        <v>77</v>
      </c>
      <c r="N176" t="s">
        <v>78</v>
      </c>
      <c r="O176" t="s">
        <v>74</v>
      </c>
      <c r="P176" t="s">
        <v>74</v>
      </c>
      <c r="Q176" t="s">
        <v>74</v>
      </c>
      <c r="R176" t="s">
        <v>74</v>
      </c>
      <c r="S176" t="s">
        <v>74</v>
      </c>
      <c r="T176" t="s">
        <v>74</v>
      </c>
      <c r="U176" t="s">
        <v>2992</v>
      </c>
      <c r="V176" t="s">
        <v>2993</v>
      </c>
      <c r="W176" t="s">
        <v>2994</v>
      </c>
      <c r="X176" t="s">
        <v>2995</v>
      </c>
      <c r="Y176" t="s">
        <v>2996</v>
      </c>
      <c r="Z176" t="s">
        <v>2997</v>
      </c>
      <c r="AA176" t="s">
        <v>74</v>
      </c>
      <c r="AB176" t="s">
        <v>74</v>
      </c>
      <c r="AC176" t="s">
        <v>74</v>
      </c>
      <c r="AD176" t="s">
        <v>74</v>
      </c>
      <c r="AE176" t="s">
        <v>74</v>
      </c>
      <c r="AF176" t="s">
        <v>74</v>
      </c>
      <c r="AG176">
        <v>36</v>
      </c>
      <c r="AH176">
        <v>8</v>
      </c>
      <c r="AI176">
        <v>8</v>
      </c>
      <c r="AJ176">
        <v>0</v>
      </c>
      <c r="AK176">
        <v>7</v>
      </c>
      <c r="AL176" t="s">
        <v>394</v>
      </c>
      <c r="AM176" t="s">
        <v>395</v>
      </c>
      <c r="AN176" t="s">
        <v>396</v>
      </c>
      <c r="AO176" t="s">
        <v>2957</v>
      </c>
      <c r="AP176" t="s">
        <v>2958</v>
      </c>
      <c r="AQ176" t="s">
        <v>74</v>
      </c>
      <c r="AR176" t="s">
        <v>2959</v>
      </c>
      <c r="AS176" t="s">
        <v>2960</v>
      </c>
      <c r="AT176" t="s">
        <v>2847</v>
      </c>
      <c r="AU176">
        <v>2005</v>
      </c>
      <c r="AV176">
        <v>37</v>
      </c>
      <c r="AW176">
        <v>2</v>
      </c>
      <c r="AX176" t="s">
        <v>74</v>
      </c>
      <c r="AY176" t="s">
        <v>74</v>
      </c>
      <c r="AZ176" t="s">
        <v>74</v>
      </c>
      <c r="BA176" t="s">
        <v>74</v>
      </c>
      <c r="BB176">
        <v>163</v>
      </c>
      <c r="BC176">
        <v>170</v>
      </c>
      <c r="BD176" t="s">
        <v>74</v>
      </c>
      <c r="BE176" t="s">
        <v>2998</v>
      </c>
      <c r="BF176" t="str">
        <f>HYPERLINK("http://dx.doi.org/10.1657/1523-0430(2005)037[0163:MOBRGC]2.0.CO;2","http://dx.doi.org/10.1657/1523-0430(2005)037[0163:MOBRGC]2.0.CO;2")</f>
        <v>http://dx.doi.org/10.1657/1523-0430(2005)037[0163:MOBRGC]2.0.CO;2</v>
      </c>
      <c r="BG176" t="s">
        <v>74</v>
      </c>
      <c r="BH176" t="s">
        <v>74</v>
      </c>
      <c r="BI176">
        <v>8</v>
      </c>
      <c r="BJ176" t="s">
        <v>2962</v>
      </c>
      <c r="BK176" t="s">
        <v>95</v>
      </c>
      <c r="BL176" t="s">
        <v>2963</v>
      </c>
      <c r="BM176" t="s">
        <v>2964</v>
      </c>
      <c r="BN176" t="s">
        <v>74</v>
      </c>
      <c r="BO176" t="s">
        <v>143</v>
      </c>
      <c r="BP176" t="s">
        <v>74</v>
      </c>
      <c r="BQ176" t="s">
        <v>74</v>
      </c>
      <c r="BR176" t="s">
        <v>97</v>
      </c>
      <c r="BS176" t="s">
        <v>2999</v>
      </c>
      <c r="BT176" t="str">
        <f>HYPERLINK("https%3A%2F%2Fwww.webofscience.com%2Fwos%2Fwoscc%2Ffull-record%2FWOS:000229484200004","View Full Record in Web of Science")</f>
        <v>View Full Record in Web of Science</v>
      </c>
    </row>
    <row r="177" spans="1:72" x14ac:dyDescent="0.15">
      <c r="A177" t="s">
        <v>72</v>
      </c>
      <c r="B177" t="s">
        <v>3000</v>
      </c>
      <c r="C177" t="s">
        <v>74</v>
      </c>
      <c r="D177" t="s">
        <v>74</v>
      </c>
      <c r="E177" t="s">
        <v>74</v>
      </c>
      <c r="F177" t="s">
        <v>3000</v>
      </c>
      <c r="G177" t="s">
        <v>74</v>
      </c>
      <c r="H177" t="s">
        <v>74</v>
      </c>
      <c r="I177" t="s">
        <v>3001</v>
      </c>
      <c r="J177" t="s">
        <v>2947</v>
      </c>
      <c r="K177" t="s">
        <v>74</v>
      </c>
      <c r="L177" t="s">
        <v>74</v>
      </c>
      <c r="M177" t="s">
        <v>77</v>
      </c>
      <c r="N177" t="s">
        <v>78</v>
      </c>
      <c r="O177" t="s">
        <v>74</v>
      </c>
      <c r="P177" t="s">
        <v>74</v>
      </c>
      <c r="Q177" t="s">
        <v>74</v>
      </c>
      <c r="R177" t="s">
        <v>74</v>
      </c>
      <c r="S177" t="s">
        <v>74</v>
      </c>
      <c r="T177" t="s">
        <v>74</v>
      </c>
      <c r="U177" t="s">
        <v>3002</v>
      </c>
      <c r="V177" t="s">
        <v>3003</v>
      </c>
      <c r="W177" t="s">
        <v>3004</v>
      </c>
      <c r="X177" t="s">
        <v>3005</v>
      </c>
      <c r="Y177" t="s">
        <v>3006</v>
      </c>
      <c r="Z177" t="s">
        <v>3007</v>
      </c>
      <c r="AA177" t="s">
        <v>74</v>
      </c>
      <c r="AB177" t="s">
        <v>74</v>
      </c>
      <c r="AC177" t="s">
        <v>74</v>
      </c>
      <c r="AD177" t="s">
        <v>74</v>
      </c>
      <c r="AE177" t="s">
        <v>74</v>
      </c>
      <c r="AF177" t="s">
        <v>74</v>
      </c>
      <c r="AG177">
        <v>33</v>
      </c>
      <c r="AH177">
        <v>2</v>
      </c>
      <c r="AI177">
        <v>4</v>
      </c>
      <c r="AJ177">
        <v>0</v>
      </c>
      <c r="AK177">
        <v>13</v>
      </c>
      <c r="AL177" t="s">
        <v>2955</v>
      </c>
      <c r="AM177" t="s">
        <v>1630</v>
      </c>
      <c r="AN177" t="s">
        <v>2956</v>
      </c>
      <c r="AO177" t="s">
        <v>2957</v>
      </c>
      <c r="AP177" t="s">
        <v>74</v>
      </c>
      <c r="AQ177" t="s">
        <v>74</v>
      </c>
      <c r="AR177" t="s">
        <v>2959</v>
      </c>
      <c r="AS177" t="s">
        <v>2960</v>
      </c>
      <c r="AT177" t="s">
        <v>2847</v>
      </c>
      <c r="AU177">
        <v>2005</v>
      </c>
      <c r="AV177">
        <v>37</v>
      </c>
      <c r="AW177">
        <v>2</v>
      </c>
      <c r="AX177" t="s">
        <v>74</v>
      </c>
      <c r="AY177" t="s">
        <v>74</v>
      </c>
      <c r="AZ177" t="s">
        <v>74</v>
      </c>
      <c r="BA177" t="s">
        <v>74</v>
      </c>
      <c r="BB177">
        <v>171</v>
      </c>
      <c r="BC177">
        <v>176</v>
      </c>
      <c r="BD177" t="s">
        <v>74</v>
      </c>
      <c r="BE177" t="s">
        <v>3008</v>
      </c>
      <c r="BF177" t="str">
        <f>HYPERLINK("http://dx.doi.org/10.1657/1523-0430(2005)037[0171:CACBTF]2.0.CO;2","http://dx.doi.org/10.1657/1523-0430(2005)037[0171:CACBTF]2.0.CO;2")</f>
        <v>http://dx.doi.org/10.1657/1523-0430(2005)037[0171:CACBTF]2.0.CO;2</v>
      </c>
      <c r="BG177" t="s">
        <v>74</v>
      </c>
      <c r="BH177" t="s">
        <v>74</v>
      </c>
      <c r="BI177">
        <v>6</v>
      </c>
      <c r="BJ177" t="s">
        <v>2962</v>
      </c>
      <c r="BK177" t="s">
        <v>95</v>
      </c>
      <c r="BL177" t="s">
        <v>2963</v>
      </c>
      <c r="BM177" t="s">
        <v>2964</v>
      </c>
      <c r="BN177" t="s">
        <v>74</v>
      </c>
      <c r="BO177" t="s">
        <v>143</v>
      </c>
      <c r="BP177" t="s">
        <v>74</v>
      </c>
      <c r="BQ177" t="s">
        <v>74</v>
      </c>
      <c r="BR177" t="s">
        <v>97</v>
      </c>
      <c r="BS177" t="s">
        <v>3009</v>
      </c>
      <c r="BT177" t="str">
        <f>HYPERLINK("https%3A%2F%2Fwww.webofscience.com%2Fwos%2Fwoscc%2Ffull-record%2FWOS:000229484200005","View Full Record in Web of Science")</f>
        <v>View Full Record in Web of Science</v>
      </c>
    </row>
    <row r="178" spans="1:72" x14ac:dyDescent="0.15">
      <c r="A178" t="s">
        <v>72</v>
      </c>
      <c r="B178" t="s">
        <v>3010</v>
      </c>
      <c r="C178" t="s">
        <v>74</v>
      </c>
      <c r="D178" t="s">
        <v>74</v>
      </c>
      <c r="E178" t="s">
        <v>74</v>
      </c>
      <c r="F178" t="s">
        <v>3010</v>
      </c>
      <c r="G178" t="s">
        <v>74</v>
      </c>
      <c r="H178" t="s">
        <v>74</v>
      </c>
      <c r="I178" t="s">
        <v>3011</v>
      </c>
      <c r="J178" t="s">
        <v>2947</v>
      </c>
      <c r="K178" t="s">
        <v>74</v>
      </c>
      <c r="L178" t="s">
        <v>74</v>
      </c>
      <c r="M178" t="s">
        <v>77</v>
      </c>
      <c r="N178" t="s">
        <v>78</v>
      </c>
      <c r="O178" t="s">
        <v>74</v>
      </c>
      <c r="P178" t="s">
        <v>74</v>
      </c>
      <c r="Q178" t="s">
        <v>74</v>
      </c>
      <c r="R178" t="s">
        <v>74</v>
      </c>
      <c r="S178" t="s">
        <v>74</v>
      </c>
      <c r="T178" t="s">
        <v>74</v>
      </c>
      <c r="U178" t="s">
        <v>3012</v>
      </c>
      <c r="V178" t="s">
        <v>3013</v>
      </c>
      <c r="W178" t="s">
        <v>3014</v>
      </c>
      <c r="X178" t="s">
        <v>3015</v>
      </c>
      <c r="Y178" t="s">
        <v>3016</v>
      </c>
      <c r="Z178" t="s">
        <v>3017</v>
      </c>
      <c r="AA178" t="s">
        <v>74</v>
      </c>
      <c r="AB178" t="s">
        <v>74</v>
      </c>
      <c r="AC178" t="s">
        <v>74</v>
      </c>
      <c r="AD178" t="s">
        <v>74</v>
      </c>
      <c r="AE178" t="s">
        <v>74</v>
      </c>
      <c r="AF178" t="s">
        <v>74</v>
      </c>
      <c r="AG178">
        <v>68</v>
      </c>
      <c r="AH178">
        <v>64</v>
      </c>
      <c r="AI178">
        <v>75</v>
      </c>
      <c r="AJ178">
        <v>4</v>
      </c>
      <c r="AK178">
        <v>77</v>
      </c>
      <c r="AL178" t="s">
        <v>2955</v>
      </c>
      <c r="AM178" t="s">
        <v>1630</v>
      </c>
      <c r="AN178" t="s">
        <v>2956</v>
      </c>
      <c r="AO178" t="s">
        <v>2957</v>
      </c>
      <c r="AP178" t="s">
        <v>74</v>
      </c>
      <c r="AQ178" t="s">
        <v>74</v>
      </c>
      <c r="AR178" t="s">
        <v>2959</v>
      </c>
      <c r="AS178" t="s">
        <v>2960</v>
      </c>
      <c r="AT178" t="s">
        <v>2847</v>
      </c>
      <c r="AU178">
        <v>2005</v>
      </c>
      <c r="AV178">
        <v>37</v>
      </c>
      <c r="AW178">
        <v>2</v>
      </c>
      <c r="AX178" t="s">
        <v>74</v>
      </c>
      <c r="AY178" t="s">
        <v>74</v>
      </c>
      <c r="AZ178" t="s">
        <v>74</v>
      </c>
      <c r="BA178" t="s">
        <v>74</v>
      </c>
      <c r="BB178">
        <v>177</v>
      </c>
      <c r="BC178">
        <v>188</v>
      </c>
      <c r="BD178" t="s">
        <v>74</v>
      </c>
      <c r="BE178" t="s">
        <v>3018</v>
      </c>
      <c r="BF178" t="str">
        <f>HYPERLINK("http://dx.doi.org/10.1657/1523-0430(2005)037[0177:DOMTAA]2.0.CO;2","http://dx.doi.org/10.1657/1523-0430(2005)037[0177:DOMTAA]2.0.CO;2")</f>
        <v>http://dx.doi.org/10.1657/1523-0430(2005)037[0177:DOMTAA]2.0.CO;2</v>
      </c>
      <c r="BG178" t="s">
        <v>74</v>
      </c>
      <c r="BH178" t="s">
        <v>74</v>
      </c>
      <c r="BI178">
        <v>12</v>
      </c>
      <c r="BJ178" t="s">
        <v>2962</v>
      </c>
      <c r="BK178" t="s">
        <v>95</v>
      </c>
      <c r="BL178" t="s">
        <v>2963</v>
      </c>
      <c r="BM178" t="s">
        <v>2964</v>
      </c>
      <c r="BN178" t="s">
        <v>74</v>
      </c>
      <c r="BO178" t="s">
        <v>143</v>
      </c>
      <c r="BP178" t="s">
        <v>74</v>
      </c>
      <c r="BQ178" t="s">
        <v>74</v>
      </c>
      <c r="BR178" t="s">
        <v>97</v>
      </c>
      <c r="BS178" t="s">
        <v>3019</v>
      </c>
      <c r="BT178" t="str">
        <f>HYPERLINK("https%3A%2F%2Fwww.webofscience.com%2Fwos%2Fwoscc%2Ffull-record%2FWOS:000229484200006","View Full Record in Web of Science")</f>
        <v>View Full Record in Web of Science</v>
      </c>
    </row>
    <row r="179" spans="1:72" x14ac:dyDescent="0.15">
      <c r="A179" t="s">
        <v>72</v>
      </c>
      <c r="B179" t="s">
        <v>3020</v>
      </c>
      <c r="C179" t="s">
        <v>74</v>
      </c>
      <c r="D179" t="s">
        <v>74</v>
      </c>
      <c r="E179" t="s">
        <v>74</v>
      </c>
      <c r="F179" t="s">
        <v>3020</v>
      </c>
      <c r="G179" t="s">
        <v>74</v>
      </c>
      <c r="H179" t="s">
        <v>74</v>
      </c>
      <c r="I179" t="s">
        <v>3021</v>
      </c>
      <c r="J179" t="s">
        <v>2947</v>
      </c>
      <c r="K179" t="s">
        <v>74</v>
      </c>
      <c r="L179" t="s">
        <v>74</v>
      </c>
      <c r="M179" t="s">
        <v>77</v>
      </c>
      <c r="N179" t="s">
        <v>78</v>
      </c>
      <c r="O179" t="s">
        <v>74</v>
      </c>
      <c r="P179" t="s">
        <v>74</v>
      </c>
      <c r="Q179" t="s">
        <v>74</v>
      </c>
      <c r="R179" t="s">
        <v>74</v>
      </c>
      <c r="S179" t="s">
        <v>74</v>
      </c>
      <c r="T179" t="s">
        <v>74</v>
      </c>
      <c r="U179" t="s">
        <v>3022</v>
      </c>
      <c r="V179" t="s">
        <v>3023</v>
      </c>
      <c r="W179" t="s">
        <v>3024</v>
      </c>
      <c r="X179" t="s">
        <v>3025</v>
      </c>
      <c r="Y179" t="s">
        <v>3026</v>
      </c>
      <c r="Z179" t="s">
        <v>3027</v>
      </c>
      <c r="AA179" t="s">
        <v>74</v>
      </c>
      <c r="AB179" t="s">
        <v>74</v>
      </c>
      <c r="AC179" t="s">
        <v>74</v>
      </c>
      <c r="AD179" t="s">
        <v>74</v>
      </c>
      <c r="AE179" t="s">
        <v>74</v>
      </c>
      <c r="AF179" t="s">
        <v>74</v>
      </c>
      <c r="AG179">
        <v>44</v>
      </c>
      <c r="AH179">
        <v>4</v>
      </c>
      <c r="AI179">
        <v>5</v>
      </c>
      <c r="AJ179">
        <v>0</v>
      </c>
      <c r="AK179">
        <v>10</v>
      </c>
      <c r="AL179" t="s">
        <v>394</v>
      </c>
      <c r="AM179" t="s">
        <v>395</v>
      </c>
      <c r="AN179" t="s">
        <v>396</v>
      </c>
      <c r="AO179" t="s">
        <v>2957</v>
      </c>
      <c r="AP179" t="s">
        <v>2958</v>
      </c>
      <c r="AQ179" t="s">
        <v>74</v>
      </c>
      <c r="AR179" t="s">
        <v>2959</v>
      </c>
      <c r="AS179" t="s">
        <v>2960</v>
      </c>
      <c r="AT179" t="s">
        <v>2847</v>
      </c>
      <c r="AU179">
        <v>2005</v>
      </c>
      <c r="AV179">
        <v>37</v>
      </c>
      <c r="AW179">
        <v>2</v>
      </c>
      <c r="AX179" t="s">
        <v>74</v>
      </c>
      <c r="AY179" t="s">
        <v>74</v>
      </c>
      <c r="AZ179" t="s">
        <v>74</v>
      </c>
      <c r="BA179" t="s">
        <v>74</v>
      </c>
      <c r="BB179">
        <v>189</v>
      </c>
      <c r="BC179">
        <v>196</v>
      </c>
      <c r="BD179" t="s">
        <v>74</v>
      </c>
      <c r="BE179" t="s">
        <v>3028</v>
      </c>
      <c r="BF179" t="str">
        <f>HYPERLINK("http://dx.doi.org/10.1657/1523-0430(2005)037[0189:LPDASP]2.0.CO;2","http://dx.doi.org/10.1657/1523-0430(2005)037[0189:LPDASP]2.0.CO;2")</f>
        <v>http://dx.doi.org/10.1657/1523-0430(2005)037[0189:LPDASP]2.0.CO;2</v>
      </c>
      <c r="BG179" t="s">
        <v>74</v>
      </c>
      <c r="BH179" t="s">
        <v>74</v>
      </c>
      <c r="BI179">
        <v>8</v>
      </c>
      <c r="BJ179" t="s">
        <v>2962</v>
      </c>
      <c r="BK179" t="s">
        <v>95</v>
      </c>
      <c r="BL179" t="s">
        <v>2963</v>
      </c>
      <c r="BM179" t="s">
        <v>2964</v>
      </c>
      <c r="BN179" t="s">
        <v>74</v>
      </c>
      <c r="BO179" t="s">
        <v>143</v>
      </c>
      <c r="BP179" t="s">
        <v>74</v>
      </c>
      <c r="BQ179" t="s">
        <v>74</v>
      </c>
      <c r="BR179" t="s">
        <v>97</v>
      </c>
      <c r="BS179" t="s">
        <v>3029</v>
      </c>
      <c r="BT179" t="str">
        <f>HYPERLINK("https%3A%2F%2Fwww.webofscience.com%2Fwos%2Fwoscc%2Ffull-record%2FWOS:000229484200007","View Full Record in Web of Science")</f>
        <v>View Full Record in Web of Science</v>
      </c>
    </row>
    <row r="180" spans="1:72" x14ac:dyDescent="0.15">
      <c r="A180" t="s">
        <v>72</v>
      </c>
      <c r="B180" t="s">
        <v>3030</v>
      </c>
      <c r="C180" t="s">
        <v>74</v>
      </c>
      <c r="D180" t="s">
        <v>74</v>
      </c>
      <c r="E180" t="s">
        <v>74</v>
      </c>
      <c r="F180" t="s">
        <v>3030</v>
      </c>
      <c r="G180" t="s">
        <v>74</v>
      </c>
      <c r="H180" t="s">
        <v>74</v>
      </c>
      <c r="I180" t="s">
        <v>3031</v>
      </c>
      <c r="J180" t="s">
        <v>2947</v>
      </c>
      <c r="K180" t="s">
        <v>74</v>
      </c>
      <c r="L180" t="s">
        <v>74</v>
      </c>
      <c r="M180" t="s">
        <v>77</v>
      </c>
      <c r="N180" t="s">
        <v>78</v>
      </c>
      <c r="O180" t="s">
        <v>74</v>
      </c>
      <c r="P180" t="s">
        <v>74</v>
      </c>
      <c r="Q180" t="s">
        <v>74</v>
      </c>
      <c r="R180" t="s">
        <v>74</v>
      </c>
      <c r="S180" t="s">
        <v>74</v>
      </c>
      <c r="T180" t="s">
        <v>74</v>
      </c>
      <c r="U180" t="s">
        <v>3032</v>
      </c>
      <c r="V180" t="s">
        <v>3033</v>
      </c>
      <c r="W180" t="s">
        <v>3034</v>
      </c>
      <c r="X180" t="s">
        <v>3035</v>
      </c>
      <c r="Y180" t="s">
        <v>3036</v>
      </c>
      <c r="Z180" t="s">
        <v>3037</v>
      </c>
      <c r="AA180" t="s">
        <v>3038</v>
      </c>
      <c r="AB180" t="s">
        <v>3039</v>
      </c>
      <c r="AC180" t="s">
        <v>74</v>
      </c>
      <c r="AD180" t="s">
        <v>74</v>
      </c>
      <c r="AE180" t="s">
        <v>74</v>
      </c>
      <c r="AF180" t="s">
        <v>74</v>
      </c>
      <c r="AG180">
        <v>43</v>
      </c>
      <c r="AH180">
        <v>26</v>
      </c>
      <c r="AI180">
        <v>38</v>
      </c>
      <c r="AJ180">
        <v>0</v>
      </c>
      <c r="AK180">
        <v>26</v>
      </c>
      <c r="AL180" t="s">
        <v>2955</v>
      </c>
      <c r="AM180" t="s">
        <v>1630</v>
      </c>
      <c r="AN180" t="s">
        <v>2956</v>
      </c>
      <c r="AO180" t="s">
        <v>2957</v>
      </c>
      <c r="AP180" t="s">
        <v>74</v>
      </c>
      <c r="AQ180" t="s">
        <v>74</v>
      </c>
      <c r="AR180" t="s">
        <v>2959</v>
      </c>
      <c r="AS180" t="s">
        <v>2960</v>
      </c>
      <c r="AT180" t="s">
        <v>2847</v>
      </c>
      <c r="AU180">
        <v>2005</v>
      </c>
      <c r="AV180">
        <v>37</v>
      </c>
      <c r="AW180">
        <v>2</v>
      </c>
      <c r="AX180" t="s">
        <v>74</v>
      </c>
      <c r="AY180" t="s">
        <v>74</v>
      </c>
      <c r="AZ180" t="s">
        <v>74</v>
      </c>
      <c r="BA180" t="s">
        <v>74</v>
      </c>
      <c r="BB180">
        <v>197</v>
      </c>
      <c r="BC180">
        <v>205</v>
      </c>
      <c r="BD180" t="s">
        <v>74</v>
      </c>
      <c r="BE180" t="s">
        <v>3040</v>
      </c>
      <c r="BF180" t="str">
        <f>HYPERLINK("http://dx.doi.org/10.1657/1523-0430(2005)037[0197:TAVAPO]2.0.CO;2","http://dx.doi.org/10.1657/1523-0430(2005)037[0197:TAVAPO]2.0.CO;2")</f>
        <v>http://dx.doi.org/10.1657/1523-0430(2005)037[0197:TAVAPO]2.0.CO;2</v>
      </c>
      <c r="BG180" t="s">
        <v>74</v>
      </c>
      <c r="BH180" t="s">
        <v>74</v>
      </c>
      <c r="BI180">
        <v>9</v>
      </c>
      <c r="BJ180" t="s">
        <v>2962</v>
      </c>
      <c r="BK180" t="s">
        <v>95</v>
      </c>
      <c r="BL180" t="s">
        <v>2963</v>
      </c>
      <c r="BM180" t="s">
        <v>2964</v>
      </c>
      <c r="BN180" t="s">
        <v>74</v>
      </c>
      <c r="BO180" t="s">
        <v>143</v>
      </c>
      <c r="BP180" t="s">
        <v>74</v>
      </c>
      <c r="BQ180" t="s">
        <v>74</v>
      </c>
      <c r="BR180" t="s">
        <v>97</v>
      </c>
      <c r="BS180" t="s">
        <v>3041</v>
      </c>
      <c r="BT180" t="str">
        <f>HYPERLINK("https%3A%2F%2Fwww.webofscience.com%2Fwos%2Fwoscc%2Ffull-record%2FWOS:000229484200008","View Full Record in Web of Science")</f>
        <v>View Full Record in Web of Science</v>
      </c>
    </row>
    <row r="181" spans="1:72" x14ac:dyDescent="0.15">
      <c r="A181" t="s">
        <v>72</v>
      </c>
      <c r="B181" t="s">
        <v>3042</v>
      </c>
      <c r="C181" t="s">
        <v>74</v>
      </c>
      <c r="D181" t="s">
        <v>74</v>
      </c>
      <c r="E181" t="s">
        <v>74</v>
      </c>
      <c r="F181" t="s">
        <v>3042</v>
      </c>
      <c r="G181" t="s">
        <v>74</v>
      </c>
      <c r="H181" t="s">
        <v>74</v>
      </c>
      <c r="I181" t="s">
        <v>3043</v>
      </c>
      <c r="J181" t="s">
        <v>2947</v>
      </c>
      <c r="K181" t="s">
        <v>74</v>
      </c>
      <c r="L181" t="s">
        <v>74</v>
      </c>
      <c r="M181" t="s">
        <v>77</v>
      </c>
      <c r="N181" t="s">
        <v>78</v>
      </c>
      <c r="O181" t="s">
        <v>74</v>
      </c>
      <c r="P181" t="s">
        <v>74</v>
      </c>
      <c r="Q181" t="s">
        <v>74</v>
      </c>
      <c r="R181" t="s">
        <v>74</v>
      </c>
      <c r="S181" t="s">
        <v>74</v>
      </c>
      <c r="T181" t="s">
        <v>74</v>
      </c>
      <c r="U181" t="s">
        <v>3044</v>
      </c>
      <c r="V181" t="s">
        <v>3045</v>
      </c>
      <c r="W181" t="s">
        <v>3046</v>
      </c>
      <c r="X181" t="s">
        <v>3047</v>
      </c>
      <c r="Y181" t="s">
        <v>3048</v>
      </c>
      <c r="Z181" t="s">
        <v>3049</v>
      </c>
      <c r="AA181" t="s">
        <v>74</v>
      </c>
      <c r="AB181" t="s">
        <v>74</v>
      </c>
      <c r="AC181" t="s">
        <v>74</v>
      </c>
      <c r="AD181" t="s">
        <v>74</v>
      </c>
      <c r="AE181" t="s">
        <v>74</v>
      </c>
      <c r="AF181" t="s">
        <v>74</v>
      </c>
      <c r="AG181">
        <v>67</v>
      </c>
      <c r="AH181">
        <v>28</v>
      </c>
      <c r="AI181">
        <v>35</v>
      </c>
      <c r="AJ181">
        <v>0</v>
      </c>
      <c r="AK181">
        <v>20</v>
      </c>
      <c r="AL181" t="s">
        <v>394</v>
      </c>
      <c r="AM181" t="s">
        <v>395</v>
      </c>
      <c r="AN181" t="s">
        <v>396</v>
      </c>
      <c r="AO181" t="s">
        <v>2957</v>
      </c>
      <c r="AP181" t="s">
        <v>2958</v>
      </c>
      <c r="AQ181" t="s">
        <v>74</v>
      </c>
      <c r="AR181" t="s">
        <v>2959</v>
      </c>
      <c r="AS181" t="s">
        <v>2960</v>
      </c>
      <c r="AT181" t="s">
        <v>2847</v>
      </c>
      <c r="AU181">
        <v>2005</v>
      </c>
      <c r="AV181">
        <v>37</v>
      </c>
      <c r="AW181">
        <v>2</v>
      </c>
      <c r="AX181" t="s">
        <v>74</v>
      </c>
      <c r="AY181" t="s">
        <v>74</v>
      </c>
      <c r="AZ181" t="s">
        <v>74</v>
      </c>
      <c r="BA181" t="s">
        <v>74</v>
      </c>
      <c r="BB181">
        <v>206</v>
      </c>
      <c r="BC181">
        <v>217</v>
      </c>
      <c r="BD181" t="s">
        <v>74</v>
      </c>
      <c r="BE181" t="s">
        <v>3050</v>
      </c>
      <c r="BF181" t="str">
        <f>HYPERLINK("http://dx.doi.org/10.1657/1523-0430(2005)037[0206:RGOTLL]2.0.CO;2","http://dx.doi.org/10.1657/1523-0430(2005)037[0206:RGOTLL]2.0.CO;2")</f>
        <v>http://dx.doi.org/10.1657/1523-0430(2005)037[0206:RGOTLL]2.0.CO;2</v>
      </c>
      <c r="BG181" t="s">
        <v>74</v>
      </c>
      <c r="BH181" t="s">
        <v>74</v>
      </c>
      <c r="BI181">
        <v>12</v>
      </c>
      <c r="BJ181" t="s">
        <v>2962</v>
      </c>
      <c r="BK181" t="s">
        <v>95</v>
      </c>
      <c r="BL181" t="s">
        <v>2963</v>
      </c>
      <c r="BM181" t="s">
        <v>2964</v>
      </c>
      <c r="BN181" t="s">
        <v>74</v>
      </c>
      <c r="BO181" t="s">
        <v>855</v>
      </c>
      <c r="BP181" t="s">
        <v>74</v>
      </c>
      <c r="BQ181" t="s">
        <v>74</v>
      </c>
      <c r="BR181" t="s">
        <v>97</v>
      </c>
      <c r="BS181" t="s">
        <v>3051</v>
      </c>
      <c r="BT181" t="str">
        <f>HYPERLINK("https%3A%2F%2Fwww.webofscience.com%2Fwos%2Fwoscc%2Ffull-record%2FWOS:000229484200009","View Full Record in Web of Science")</f>
        <v>View Full Record in Web of Science</v>
      </c>
    </row>
    <row r="182" spans="1:72" x14ac:dyDescent="0.15">
      <c r="A182" t="s">
        <v>72</v>
      </c>
      <c r="B182" t="s">
        <v>3052</v>
      </c>
      <c r="C182" t="s">
        <v>74</v>
      </c>
      <c r="D182" t="s">
        <v>74</v>
      </c>
      <c r="E182" t="s">
        <v>74</v>
      </c>
      <c r="F182" t="s">
        <v>3052</v>
      </c>
      <c r="G182" t="s">
        <v>74</v>
      </c>
      <c r="H182" t="s">
        <v>74</v>
      </c>
      <c r="I182" t="s">
        <v>3053</v>
      </c>
      <c r="J182" t="s">
        <v>2947</v>
      </c>
      <c r="K182" t="s">
        <v>74</v>
      </c>
      <c r="L182" t="s">
        <v>74</v>
      </c>
      <c r="M182" t="s">
        <v>77</v>
      </c>
      <c r="N182" t="s">
        <v>78</v>
      </c>
      <c r="O182" t="s">
        <v>74</v>
      </c>
      <c r="P182" t="s">
        <v>74</v>
      </c>
      <c r="Q182" t="s">
        <v>74</v>
      </c>
      <c r="R182" t="s">
        <v>74</v>
      </c>
      <c r="S182" t="s">
        <v>74</v>
      </c>
      <c r="T182" t="s">
        <v>74</v>
      </c>
      <c r="U182" t="s">
        <v>3054</v>
      </c>
      <c r="V182" t="s">
        <v>3055</v>
      </c>
      <c r="W182" t="s">
        <v>3056</v>
      </c>
      <c r="X182" t="s">
        <v>3057</v>
      </c>
      <c r="Y182" t="s">
        <v>3058</v>
      </c>
      <c r="Z182" t="s">
        <v>3059</v>
      </c>
      <c r="AA182" t="s">
        <v>3060</v>
      </c>
      <c r="AB182" t="s">
        <v>3061</v>
      </c>
      <c r="AC182" t="s">
        <v>74</v>
      </c>
      <c r="AD182" t="s">
        <v>74</v>
      </c>
      <c r="AE182" t="s">
        <v>74</v>
      </c>
      <c r="AF182" t="s">
        <v>74</v>
      </c>
      <c r="AG182">
        <v>30</v>
      </c>
      <c r="AH182">
        <v>26</v>
      </c>
      <c r="AI182">
        <v>28</v>
      </c>
      <c r="AJ182">
        <v>0</v>
      </c>
      <c r="AK182">
        <v>20</v>
      </c>
      <c r="AL182" t="s">
        <v>394</v>
      </c>
      <c r="AM182" t="s">
        <v>395</v>
      </c>
      <c r="AN182" t="s">
        <v>396</v>
      </c>
      <c r="AO182" t="s">
        <v>2957</v>
      </c>
      <c r="AP182" t="s">
        <v>2958</v>
      </c>
      <c r="AQ182" t="s">
        <v>74</v>
      </c>
      <c r="AR182" t="s">
        <v>2959</v>
      </c>
      <c r="AS182" t="s">
        <v>2960</v>
      </c>
      <c r="AT182" t="s">
        <v>2847</v>
      </c>
      <c r="AU182">
        <v>2005</v>
      </c>
      <c r="AV182">
        <v>37</v>
      </c>
      <c r="AW182">
        <v>2</v>
      </c>
      <c r="AX182" t="s">
        <v>74</v>
      </c>
      <c r="AY182" t="s">
        <v>74</v>
      </c>
      <c r="AZ182" t="s">
        <v>74</v>
      </c>
      <c r="BA182" t="s">
        <v>74</v>
      </c>
      <c r="BB182">
        <v>218</v>
      </c>
      <c r="BC182">
        <v>232</v>
      </c>
      <c r="BD182" t="s">
        <v>74</v>
      </c>
      <c r="BE182" t="s">
        <v>3062</v>
      </c>
      <c r="BF182" t="str">
        <f>HYPERLINK("http://dx.doi.org/10.1657/1523-0430(2005)037[0218:TSGOAT]2.0.CO;2","http://dx.doi.org/10.1657/1523-0430(2005)037[0218:TSGOAT]2.0.CO;2")</f>
        <v>http://dx.doi.org/10.1657/1523-0430(2005)037[0218:TSGOAT]2.0.CO;2</v>
      </c>
      <c r="BG182" t="s">
        <v>74</v>
      </c>
      <c r="BH182" t="s">
        <v>74</v>
      </c>
      <c r="BI182">
        <v>15</v>
      </c>
      <c r="BJ182" t="s">
        <v>2962</v>
      </c>
      <c r="BK182" t="s">
        <v>95</v>
      </c>
      <c r="BL182" t="s">
        <v>2963</v>
      </c>
      <c r="BM182" t="s">
        <v>2964</v>
      </c>
      <c r="BN182" t="s">
        <v>74</v>
      </c>
      <c r="BO182" t="s">
        <v>143</v>
      </c>
      <c r="BP182" t="s">
        <v>74</v>
      </c>
      <c r="BQ182" t="s">
        <v>74</v>
      </c>
      <c r="BR182" t="s">
        <v>97</v>
      </c>
      <c r="BS182" t="s">
        <v>3063</v>
      </c>
      <c r="BT182" t="str">
        <f>HYPERLINK("https%3A%2F%2Fwww.webofscience.com%2Fwos%2Fwoscc%2Ffull-record%2FWOS:000229484200010","View Full Record in Web of Science")</f>
        <v>View Full Record in Web of Science</v>
      </c>
    </row>
    <row r="183" spans="1:72" x14ac:dyDescent="0.15">
      <c r="A183" t="s">
        <v>72</v>
      </c>
      <c r="B183" t="s">
        <v>3064</v>
      </c>
      <c r="C183" t="s">
        <v>74</v>
      </c>
      <c r="D183" t="s">
        <v>74</v>
      </c>
      <c r="E183" t="s">
        <v>74</v>
      </c>
      <c r="F183" t="s">
        <v>3064</v>
      </c>
      <c r="G183" t="s">
        <v>74</v>
      </c>
      <c r="H183" t="s">
        <v>74</v>
      </c>
      <c r="I183" t="s">
        <v>3065</v>
      </c>
      <c r="J183" t="s">
        <v>2947</v>
      </c>
      <c r="K183" t="s">
        <v>74</v>
      </c>
      <c r="L183" t="s">
        <v>74</v>
      </c>
      <c r="M183" t="s">
        <v>77</v>
      </c>
      <c r="N183" t="s">
        <v>78</v>
      </c>
      <c r="O183" t="s">
        <v>74</v>
      </c>
      <c r="P183" t="s">
        <v>74</v>
      </c>
      <c r="Q183" t="s">
        <v>74</v>
      </c>
      <c r="R183" t="s">
        <v>74</v>
      </c>
      <c r="S183" t="s">
        <v>74</v>
      </c>
      <c r="T183" t="s">
        <v>74</v>
      </c>
      <c r="U183" t="s">
        <v>3066</v>
      </c>
      <c r="V183" t="s">
        <v>3067</v>
      </c>
      <c r="W183" t="s">
        <v>3068</v>
      </c>
      <c r="X183" t="s">
        <v>3069</v>
      </c>
      <c r="Y183" t="s">
        <v>3070</v>
      </c>
      <c r="Z183" t="s">
        <v>3071</v>
      </c>
      <c r="AA183" t="s">
        <v>74</v>
      </c>
      <c r="AB183" t="s">
        <v>74</v>
      </c>
      <c r="AC183" t="s">
        <v>74</v>
      </c>
      <c r="AD183" t="s">
        <v>74</v>
      </c>
      <c r="AE183" t="s">
        <v>74</v>
      </c>
      <c r="AF183" t="s">
        <v>74</v>
      </c>
      <c r="AG183">
        <v>16</v>
      </c>
      <c r="AH183">
        <v>20</v>
      </c>
      <c r="AI183">
        <v>25</v>
      </c>
      <c r="AJ183">
        <v>1</v>
      </c>
      <c r="AK183">
        <v>25</v>
      </c>
      <c r="AL183" t="s">
        <v>394</v>
      </c>
      <c r="AM183" t="s">
        <v>395</v>
      </c>
      <c r="AN183" t="s">
        <v>396</v>
      </c>
      <c r="AO183" t="s">
        <v>2957</v>
      </c>
      <c r="AP183" t="s">
        <v>2958</v>
      </c>
      <c r="AQ183" t="s">
        <v>74</v>
      </c>
      <c r="AR183" t="s">
        <v>2959</v>
      </c>
      <c r="AS183" t="s">
        <v>2960</v>
      </c>
      <c r="AT183" t="s">
        <v>2847</v>
      </c>
      <c r="AU183">
        <v>2005</v>
      </c>
      <c r="AV183">
        <v>37</v>
      </c>
      <c r="AW183">
        <v>2</v>
      </c>
      <c r="AX183" t="s">
        <v>74</v>
      </c>
      <c r="AY183" t="s">
        <v>74</v>
      </c>
      <c r="AZ183" t="s">
        <v>74</v>
      </c>
      <c r="BA183" t="s">
        <v>74</v>
      </c>
      <c r="BB183">
        <v>233</v>
      </c>
      <c r="BC183">
        <v>238</v>
      </c>
      <c r="BD183" t="s">
        <v>74</v>
      </c>
      <c r="BE183" t="s">
        <v>3072</v>
      </c>
      <c r="BF183" t="str">
        <f>HYPERLINK("http://dx.doi.org/10.1657/1523-0430(2005)037[0233:EVAEAA]2.0.CO;2","http://dx.doi.org/10.1657/1523-0430(2005)037[0233:EVAEAA]2.0.CO;2")</f>
        <v>http://dx.doi.org/10.1657/1523-0430(2005)037[0233:EVAEAA]2.0.CO;2</v>
      </c>
      <c r="BG183" t="s">
        <v>74</v>
      </c>
      <c r="BH183" t="s">
        <v>74</v>
      </c>
      <c r="BI183">
        <v>6</v>
      </c>
      <c r="BJ183" t="s">
        <v>2962</v>
      </c>
      <c r="BK183" t="s">
        <v>95</v>
      </c>
      <c r="BL183" t="s">
        <v>2963</v>
      </c>
      <c r="BM183" t="s">
        <v>2964</v>
      </c>
      <c r="BN183" t="s">
        <v>74</v>
      </c>
      <c r="BO183" t="s">
        <v>143</v>
      </c>
      <c r="BP183" t="s">
        <v>74</v>
      </c>
      <c r="BQ183" t="s">
        <v>74</v>
      </c>
      <c r="BR183" t="s">
        <v>97</v>
      </c>
      <c r="BS183" t="s">
        <v>3073</v>
      </c>
      <c r="BT183" t="str">
        <f>HYPERLINK("https%3A%2F%2Fwww.webofscience.com%2Fwos%2Fwoscc%2Ffull-record%2FWOS:000229484200011","View Full Record in Web of Science")</f>
        <v>View Full Record in Web of Science</v>
      </c>
    </row>
    <row r="184" spans="1:72" x14ac:dyDescent="0.15">
      <c r="A184" t="s">
        <v>72</v>
      </c>
      <c r="B184" t="s">
        <v>3074</v>
      </c>
      <c r="C184" t="s">
        <v>74</v>
      </c>
      <c r="D184" t="s">
        <v>74</v>
      </c>
      <c r="E184" t="s">
        <v>74</v>
      </c>
      <c r="F184" t="s">
        <v>3074</v>
      </c>
      <c r="G184" t="s">
        <v>74</v>
      </c>
      <c r="H184" t="s">
        <v>74</v>
      </c>
      <c r="I184" t="s">
        <v>3075</v>
      </c>
      <c r="J184" t="s">
        <v>2947</v>
      </c>
      <c r="K184" t="s">
        <v>74</v>
      </c>
      <c r="L184" t="s">
        <v>74</v>
      </c>
      <c r="M184" t="s">
        <v>77</v>
      </c>
      <c r="N184" t="s">
        <v>78</v>
      </c>
      <c r="O184" t="s">
        <v>74</v>
      </c>
      <c r="P184" t="s">
        <v>74</v>
      </c>
      <c r="Q184" t="s">
        <v>74</v>
      </c>
      <c r="R184" t="s">
        <v>74</v>
      </c>
      <c r="S184" t="s">
        <v>74</v>
      </c>
      <c r="T184" t="s">
        <v>74</v>
      </c>
      <c r="U184" t="s">
        <v>3076</v>
      </c>
      <c r="V184" t="s">
        <v>3077</v>
      </c>
      <c r="W184" t="s">
        <v>670</v>
      </c>
      <c r="X184" t="s">
        <v>671</v>
      </c>
      <c r="Y184" t="s">
        <v>230</v>
      </c>
      <c r="Z184" t="s">
        <v>231</v>
      </c>
      <c r="AA184" t="s">
        <v>3078</v>
      </c>
      <c r="AB184" t="s">
        <v>3079</v>
      </c>
      <c r="AC184" t="s">
        <v>74</v>
      </c>
      <c r="AD184" t="s">
        <v>74</v>
      </c>
      <c r="AE184" t="s">
        <v>74</v>
      </c>
      <c r="AF184" t="s">
        <v>74</v>
      </c>
      <c r="AG184">
        <v>48</v>
      </c>
      <c r="AH184">
        <v>32</v>
      </c>
      <c r="AI184">
        <v>36</v>
      </c>
      <c r="AJ184">
        <v>0</v>
      </c>
      <c r="AK184">
        <v>14</v>
      </c>
      <c r="AL184" t="s">
        <v>394</v>
      </c>
      <c r="AM184" t="s">
        <v>395</v>
      </c>
      <c r="AN184" t="s">
        <v>396</v>
      </c>
      <c r="AO184" t="s">
        <v>2957</v>
      </c>
      <c r="AP184" t="s">
        <v>2958</v>
      </c>
      <c r="AQ184" t="s">
        <v>74</v>
      </c>
      <c r="AR184" t="s">
        <v>2959</v>
      </c>
      <c r="AS184" t="s">
        <v>2960</v>
      </c>
      <c r="AT184" t="s">
        <v>2847</v>
      </c>
      <c r="AU184">
        <v>2005</v>
      </c>
      <c r="AV184">
        <v>37</v>
      </c>
      <c r="AW184">
        <v>2</v>
      </c>
      <c r="AX184" t="s">
        <v>74</v>
      </c>
      <c r="AY184" t="s">
        <v>74</v>
      </c>
      <c r="AZ184" t="s">
        <v>74</v>
      </c>
      <c r="BA184" t="s">
        <v>74</v>
      </c>
      <c r="BB184">
        <v>239</v>
      </c>
      <c r="BC184">
        <v>245</v>
      </c>
      <c r="BD184" t="s">
        <v>74</v>
      </c>
      <c r="BE184" t="s">
        <v>3080</v>
      </c>
      <c r="BF184" t="str">
        <f>HYPERLINK("http://dx.doi.org/10.1657/1523-0430(2005)037[0239:AYROOM]2.0.CO;2","http://dx.doi.org/10.1657/1523-0430(2005)037[0239:AYROOM]2.0.CO;2")</f>
        <v>http://dx.doi.org/10.1657/1523-0430(2005)037[0239:AYROOM]2.0.CO;2</v>
      </c>
      <c r="BG184" t="s">
        <v>74</v>
      </c>
      <c r="BH184" t="s">
        <v>74</v>
      </c>
      <c r="BI184">
        <v>7</v>
      </c>
      <c r="BJ184" t="s">
        <v>2962</v>
      </c>
      <c r="BK184" t="s">
        <v>95</v>
      </c>
      <c r="BL184" t="s">
        <v>2963</v>
      </c>
      <c r="BM184" t="s">
        <v>2964</v>
      </c>
      <c r="BN184" t="s">
        <v>74</v>
      </c>
      <c r="BO184" t="s">
        <v>143</v>
      </c>
      <c r="BP184" t="s">
        <v>74</v>
      </c>
      <c r="BQ184" t="s">
        <v>74</v>
      </c>
      <c r="BR184" t="s">
        <v>97</v>
      </c>
      <c r="BS184" t="s">
        <v>3081</v>
      </c>
      <c r="BT184" t="str">
        <f>HYPERLINK("https%3A%2F%2Fwww.webofscience.com%2Fwos%2Fwoscc%2Ffull-record%2FWOS:000229484200012","View Full Record in Web of Science")</f>
        <v>View Full Record in Web of Science</v>
      </c>
    </row>
    <row r="185" spans="1:72" x14ac:dyDescent="0.15">
      <c r="A185" t="s">
        <v>72</v>
      </c>
      <c r="B185" t="s">
        <v>3082</v>
      </c>
      <c r="C185" t="s">
        <v>74</v>
      </c>
      <c r="D185" t="s">
        <v>74</v>
      </c>
      <c r="E185" t="s">
        <v>74</v>
      </c>
      <c r="F185" t="s">
        <v>3082</v>
      </c>
      <c r="G185" t="s">
        <v>74</v>
      </c>
      <c r="H185" t="s">
        <v>74</v>
      </c>
      <c r="I185" t="s">
        <v>3083</v>
      </c>
      <c r="J185" t="s">
        <v>2947</v>
      </c>
      <c r="K185" t="s">
        <v>74</v>
      </c>
      <c r="L185" t="s">
        <v>74</v>
      </c>
      <c r="M185" t="s">
        <v>77</v>
      </c>
      <c r="N185" t="s">
        <v>78</v>
      </c>
      <c r="O185" t="s">
        <v>74</v>
      </c>
      <c r="P185" t="s">
        <v>74</v>
      </c>
      <c r="Q185" t="s">
        <v>74</v>
      </c>
      <c r="R185" t="s">
        <v>74</v>
      </c>
      <c r="S185" t="s">
        <v>74</v>
      </c>
      <c r="T185" t="s">
        <v>74</v>
      </c>
      <c r="U185" t="s">
        <v>3084</v>
      </c>
      <c r="V185" t="s">
        <v>3085</v>
      </c>
      <c r="W185" t="s">
        <v>3086</v>
      </c>
      <c r="X185" t="s">
        <v>3087</v>
      </c>
      <c r="Y185" t="s">
        <v>3088</v>
      </c>
      <c r="Z185" t="s">
        <v>3089</v>
      </c>
      <c r="AA185" t="s">
        <v>3090</v>
      </c>
      <c r="AB185" t="s">
        <v>3091</v>
      </c>
      <c r="AC185" t="s">
        <v>74</v>
      </c>
      <c r="AD185" t="s">
        <v>74</v>
      </c>
      <c r="AE185" t="s">
        <v>74</v>
      </c>
      <c r="AF185" t="s">
        <v>74</v>
      </c>
      <c r="AG185">
        <v>30</v>
      </c>
      <c r="AH185">
        <v>47</v>
      </c>
      <c r="AI185">
        <v>56</v>
      </c>
      <c r="AJ185">
        <v>0</v>
      </c>
      <c r="AK185">
        <v>30</v>
      </c>
      <c r="AL185" t="s">
        <v>2955</v>
      </c>
      <c r="AM185" t="s">
        <v>1630</v>
      </c>
      <c r="AN185" t="s">
        <v>2956</v>
      </c>
      <c r="AO185" t="s">
        <v>2957</v>
      </c>
      <c r="AP185" t="s">
        <v>2958</v>
      </c>
      <c r="AQ185" t="s">
        <v>74</v>
      </c>
      <c r="AR185" t="s">
        <v>2959</v>
      </c>
      <c r="AS185" t="s">
        <v>2960</v>
      </c>
      <c r="AT185" t="s">
        <v>2847</v>
      </c>
      <c r="AU185">
        <v>2005</v>
      </c>
      <c r="AV185">
        <v>37</v>
      </c>
      <c r="AW185">
        <v>2</v>
      </c>
      <c r="AX185" t="s">
        <v>74</v>
      </c>
      <c r="AY185" t="s">
        <v>74</v>
      </c>
      <c r="AZ185" t="s">
        <v>74</v>
      </c>
      <c r="BA185" t="s">
        <v>74</v>
      </c>
      <c r="BB185">
        <v>246</v>
      </c>
      <c r="BC185">
        <v>252</v>
      </c>
      <c r="BD185" t="s">
        <v>74</v>
      </c>
      <c r="BE185" t="s">
        <v>3092</v>
      </c>
      <c r="BF185" t="str">
        <f>HYPERLINK("http://dx.doi.org/10.1657/1523-0430(2005)037[0246:SAOATI]2.0.CO;2","http://dx.doi.org/10.1657/1523-0430(2005)037[0246:SAOATI]2.0.CO;2")</f>
        <v>http://dx.doi.org/10.1657/1523-0430(2005)037[0246:SAOATI]2.0.CO;2</v>
      </c>
      <c r="BG185" t="s">
        <v>74</v>
      </c>
      <c r="BH185" t="s">
        <v>74</v>
      </c>
      <c r="BI185">
        <v>7</v>
      </c>
      <c r="BJ185" t="s">
        <v>2962</v>
      </c>
      <c r="BK185" t="s">
        <v>95</v>
      </c>
      <c r="BL185" t="s">
        <v>2963</v>
      </c>
      <c r="BM185" t="s">
        <v>2964</v>
      </c>
      <c r="BN185" t="s">
        <v>74</v>
      </c>
      <c r="BO185" t="s">
        <v>3093</v>
      </c>
      <c r="BP185" t="s">
        <v>74</v>
      </c>
      <c r="BQ185" t="s">
        <v>74</v>
      </c>
      <c r="BR185" t="s">
        <v>97</v>
      </c>
      <c r="BS185" t="s">
        <v>3094</v>
      </c>
      <c r="BT185" t="str">
        <f>HYPERLINK("https%3A%2F%2Fwww.webofscience.com%2Fwos%2Fwoscc%2Ffull-record%2FWOS:000229484200013","View Full Record in Web of Science")</f>
        <v>View Full Record in Web of Science</v>
      </c>
    </row>
    <row r="186" spans="1:72" x14ac:dyDescent="0.15">
      <c r="A186" t="s">
        <v>72</v>
      </c>
      <c r="B186" t="s">
        <v>3095</v>
      </c>
      <c r="C186" t="s">
        <v>74</v>
      </c>
      <c r="D186" t="s">
        <v>74</v>
      </c>
      <c r="E186" t="s">
        <v>74</v>
      </c>
      <c r="F186" t="s">
        <v>3095</v>
      </c>
      <c r="G186" t="s">
        <v>74</v>
      </c>
      <c r="H186" t="s">
        <v>74</v>
      </c>
      <c r="I186" t="s">
        <v>3096</v>
      </c>
      <c r="J186" t="s">
        <v>2947</v>
      </c>
      <c r="K186" t="s">
        <v>74</v>
      </c>
      <c r="L186" t="s">
        <v>74</v>
      </c>
      <c r="M186" t="s">
        <v>77</v>
      </c>
      <c r="N186" t="s">
        <v>78</v>
      </c>
      <c r="O186" t="s">
        <v>74</v>
      </c>
      <c r="P186" t="s">
        <v>74</v>
      </c>
      <c r="Q186" t="s">
        <v>74</v>
      </c>
      <c r="R186" t="s">
        <v>74</v>
      </c>
      <c r="S186" t="s">
        <v>74</v>
      </c>
      <c r="T186" t="s">
        <v>74</v>
      </c>
      <c r="U186" t="s">
        <v>3097</v>
      </c>
      <c r="V186" t="s">
        <v>3098</v>
      </c>
      <c r="W186" t="s">
        <v>3099</v>
      </c>
      <c r="X186" t="s">
        <v>3100</v>
      </c>
      <c r="Y186" t="s">
        <v>3101</v>
      </c>
      <c r="Z186" t="s">
        <v>3102</v>
      </c>
      <c r="AA186" t="s">
        <v>3103</v>
      </c>
      <c r="AB186" t="s">
        <v>3104</v>
      </c>
      <c r="AC186" t="s">
        <v>74</v>
      </c>
      <c r="AD186" t="s">
        <v>74</v>
      </c>
      <c r="AE186" t="s">
        <v>74</v>
      </c>
      <c r="AF186" t="s">
        <v>74</v>
      </c>
      <c r="AG186">
        <v>52</v>
      </c>
      <c r="AH186">
        <v>99</v>
      </c>
      <c r="AI186">
        <v>103</v>
      </c>
      <c r="AJ186">
        <v>1</v>
      </c>
      <c r="AK186">
        <v>15</v>
      </c>
      <c r="AL186" t="s">
        <v>394</v>
      </c>
      <c r="AM186" t="s">
        <v>395</v>
      </c>
      <c r="AN186" t="s">
        <v>396</v>
      </c>
      <c r="AO186" t="s">
        <v>2957</v>
      </c>
      <c r="AP186" t="s">
        <v>2958</v>
      </c>
      <c r="AQ186" t="s">
        <v>74</v>
      </c>
      <c r="AR186" t="s">
        <v>2959</v>
      </c>
      <c r="AS186" t="s">
        <v>2960</v>
      </c>
      <c r="AT186" t="s">
        <v>2847</v>
      </c>
      <c r="AU186">
        <v>2005</v>
      </c>
      <c r="AV186">
        <v>37</v>
      </c>
      <c r="AW186">
        <v>2</v>
      </c>
      <c r="AX186" t="s">
        <v>74</v>
      </c>
      <c r="AY186" t="s">
        <v>74</v>
      </c>
      <c r="AZ186" t="s">
        <v>74</v>
      </c>
      <c r="BA186" t="s">
        <v>74</v>
      </c>
      <c r="BB186">
        <v>253</v>
      </c>
      <c r="BC186">
        <v>260</v>
      </c>
      <c r="BD186" t="s">
        <v>74</v>
      </c>
      <c r="BE186" t="s">
        <v>3105</v>
      </c>
      <c r="BF186" t="str">
        <f>HYPERLINK("http://dx.doi.org/10.1657/1523-0430(2005)037[0253:RVOSDI]2.0.CO;2","http://dx.doi.org/10.1657/1523-0430(2005)037[0253:RVOSDI]2.0.CO;2")</f>
        <v>http://dx.doi.org/10.1657/1523-0430(2005)037[0253:RVOSDI]2.0.CO;2</v>
      </c>
      <c r="BG186" t="s">
        <v>74</v>
      </c>
      <c r="BH186" t="s">
        <v>74</v>
      </c>
      <c r="BI186">
        <v>8</v>
      </c>
      <c r="BJ186" t="s">
        <v>2962</v>
      </c>
      <c r="BK186" t="s">
        <v>95</v>
      </c>
      <c r="BL186" t="s">
        <v>2963</v>
      </c>
      <c r="BM186" t="s">
        <v>2964</v>
      </c>
      <c r="BN186" t="s">
        <v>74</v>
      </c>
      <c r="BO186" t="s">
        <v>143</v>
      </c>
      <c r="BP186" t="s">
        <v>74</v>
      </c>
      <c r="BQ186" t="s">
        <v>74</v>
      </c>
      <c r="BR186" t="s">
        <v>97</v>
      </c>
      <c r="BS186" t="s">
        <v>3106</v>
      </c>
      <c r="BT186" t="str">
        <f>HYPERLINK("https%3A%2F%2Fwww.webofscience.com%2Fwos%2Fwoscc%2Ffull-record%2FWOS:000229484200014","View Full Record in Web of Science")</f>
        <v>View Full Record in Web of Science</v>
      </c>
    </row>
    <row r="187" spans="1:72" x14ac:dyDescent="0.15">
      <c r="A187" t="s">
        <v>72</v>
      </c>
      <c r="B187" t="s">
        <v>3107</v>
      </c>
      <c r="C187" t="s">
        <v>74</v>
      </c>
      <c r="D187" t="s">
        <v>74</v>
      </c>
      <c r="E187" t="s">
        <v>74</v>
      </c>
      <c r="F187" t="s">
        <v>3107</v>
      </c>
      <c r="G187" t="s">
        <v>74</v>
      </c>
      <c r="H187" t="s">
        <v>74</v>
      </c>
      <c r="I187" t="s">
        <v>3108</v>
      </c>
      <c r="J187" t="s">
        <v>2947</v>
      </c>
      <c r="K187" t="s">
        <v>74</v>
      </c>
      <c r="L187" t="s">
        <v>74</v>
      </c>
      <c r="M187" t="s">
        <v>77</v>
      </c>
      <c r="N187" t="s">
        <v>78</v>
      </c>
      <c r="O187" t="s">
        <v>74</v>
      </c>
      <c r="P187" t="s">
        <v>74</v>
      </c>
      <c r="Q187" t="s">
        <v>74</v>
      </c>
      <c r="R187" t="s">
        <v>74</v>
      </c>
      <c r="S187" t="s">
        <v>74</v>
      </c>
      <c r="T187" t="s">
        <v>74</v>
      </c>
      <c r="U187" t="s">
        <v>3109</v>
      </c>
      <c r="V187" t="s">
        <v>3110</v>
      </c>
      <c r="W187" t="s">
        <v>3111</v>
      </c>
      <c r="X187" t="s">
        <v>3112</v>
      </c>
      <c r="Y187" t="s">
        <v>3113</v>
      </c>
      <c r="Z187" t="s">
        <v>3114</v>
      </c>
      <c r="AA187" t="s">
        <v>74</v>
      </c>
      <c r="AB187" t="s">
        <v>74</v>
      </c>
      <c r="AC187" t="s">
        <v>74</v>
      </c>
      <c r="AD187" t="s">
        <v>74</v>
      </c>
      <c r="AE187" t="s">
        <v>74</v>
      </c>
      <c r="AF187" t="s">
        <v>74</v>
      </c>
      <c r="AG187">
        <v>32</v>
      </c>
      <c r="AH187">
        <v>29</v>
      </c>
      <c r="AI187">
        <v>30</v>
      </c>
      <c r="AJ187">
        <v>2</v>
      </c>
      <c r="AK187">
        <v>25</v>
      </c>
      <c r="AL187" t="s">
        <v>2955</v>
      </c>
      <c r="AM187" t="s">
        <v>1630</v>
      </c>
      <c r="AN187" t="s">
        <v>2956</v>
      </c>
      <c r="AO187" t="s">
        <v>2957</v>
      </c>
      <c r="AP187" t="s">
        <v>2958</v>
      </c>
      <c r="AQ187" t="s">
        <v>74</v>
      </c>
      <c r="AR187" t="s">
        <v>2959</v>
      </c>
      <c r="AS187" t="s">
        <v>2960</v>
      </c>
      <c r="AT187" t="s">
        <v>2847</v>
      </c>
      <c r="AU187">
        <v>2005</v>
      </c>
      <c r="AV187">
        <v>37</v>
      </c>
      <c r="AW187">
        <v>2</v>
      </c>
      <c r="AX187" t="s">
        <v>74</v>
      </c>
      <c r="AY187" t="s">
        <v>74</v>
      </c>
      <c r="AZ187" t="s">
        <v>74</v>
      </c>
      <c r="BA187" t="s">
        <v>74</v>
      </c>
      <c r="BB187">
        <v>261</v>
      </c>
      <c r="BC187">
        <v>266</v>
      </c>
      <c r="BD187" t="s">
        <v>74</v>
      </c>
      <c r="BE187" t="s">
        <v>3115</v>
      </c>
      <c r="BF187" t="str">
        <f>HYPERLINK("http://dx.doi.org/10.1657/1523-0430(2005)037[0261:DISACA]2.0.CO;2","http://dx.doi.org/10.1657/1523-0430(2005)037[0261:DISACA]2.0.CO;2")</f>
        <v>http://dx.doi.org/10.1657/1523-0430(2005)037[0261:DISACA]2.0.CO;2</v>
      </c>
      <c r="BG187" t="s">
        <v>74</v>
      </c>
      <c r="BH187" t="s">
        <v>74</v>
      </c>
      <c r="BI187">
        <v>6</v>
      </c>
      <c r="BJ187" t="s">
        <v>2962</v>
      </c>
      <c r="BK187" t="s">
        <v>95</v>
      </c>
      <c r="BL187" t="s">
        <v>2963</v>
      </c>
      <c r="BM187" t="s">
        <v>2964</v>
      </c>
      <c r="BN187" t="s">
        <v>74</v>
      </c>
      <c r="BO187" t="s">
        <v>3116</v>
      </c>
      <c r="BP187" t="s">
        <v>74</v>
      </c>
      <c r="BQ187" t="s">
        <v>74</v>
      </c>
      <c r="BR187" t="s">
        <v>97</v>
      </c>
      <c r="BS187" t="s">
        <v>3117</v>
      </c>
      <c r="BT187" t="str">
        <f>HYPERLINK("https%3A%2F%2Fwww.webofscience.com%2Fwos%2Fwoscc%2Ffull-record%2FWOS:000229484200015","View Full Record in Web of Science")</f>
        <v>View Full Record in Web of Science</v>
      </c>
    </row>
    <row r="188" spans="1:72" x14ac:dyDescent="0.15">
      <c r="A188" t="s">
        <v>72</v>
      </c>
      <c r="B188" t="s">
        <v>3118</v>
      </c>
      <c r="C188" t="s">
        <v>74</v>
      </c>
      <c r="D188" t="s">
        <v>74</v>
      </c>
      <c r="E188" t="s">
        <v>74</v>
      </c>
      <c r="F188" t="s">
        <v>3118</v>
      </c>
      <c r="G188" t="s">
        <v>74</v>
      </c>
      <c r="H188" t="s">
        <v>74</v>
      </c>
      <c r="I188" t="s">
        <v>3119</v>
      </c>
      <c r="J188" t="s">
        <v>2947</v>
      </c>
      <c r="K188" t="s">
        <v>74</v>
      </c>
      <c r="L188" t="s">
        <v>74</v>
      </c>
      <c r="M188" t="s">
        <v>77</v>
      </c>
      <c r="N188" t="s">
        <v>484</v>
      </c>
      <c r="O188" t="s">
        <v>74</v>
      </c>
      <c r="P188" t="s">
        <v>74</v>
      </c>
      <c r="Q188" t="s">
        <v>74</v>
      </c>
      <c r="R188" t="s">
        <v>74</v>
      </c>
      <c r="S188" t="s">
        <v>74</v>
      </c>
      <c r="T188" t="s">
        <v>74</v>
      </c>
      <c r="U188" t="s">
        <v>74</v>
      </c>
      <c r="V188" t="s">
        <v>74</v>
      </c>
      <c r="W188" t="s">
        <v>74</v>
      </c>
      <c r="X188" t="s">
        <v>74</v>
      </c>
      <c r="Y188" t="s">
        <v>74</v>
      </c>
      <c r="Z188" t="s">
        <v>74</v>
      </c>
      <c r="AA188" t="s">
        <v>3120</v>
      </c>
      <c r="AB188" t="s">
        <v>74</v>
      </c>
      <c r="AC188" t="s">
        <v>74</v>
      </c>
      <c r="AD188" t="s">
        <v>74</v>
      </c>
      <c r="AE188" t="s">
        <v>74</v>
      </c>
      <c r="AF188" t="s">
        <v>74</v>
      </c>
      <c r="AG188">
        <v>1</v>
      </c>
      <c r="AH188">
        <v>0</v>
      </c>
      <c r="AI188">
        <v>0</v>
      </c>
      <c r="AJ188">
        <v>0</v>
      </c>
      <c r="AK188">
        <v>0</v>
      </c>
      <c r="AL188" t="s">
        <v>394</v>
      </c>
      <c r="AM188" t="s">
        <v>395</v>
      </c>
      <c r="AN188" t="s">
        <v>396</v>
      </c>
      <c r="AO188" t="s">
        <v>2957</v>
      </c>
      <c r="AP188" t="s">
        <v>2958</v>
      </c>
      <c r="AQ188" t="s">
        <v>74</v>
      </c>
      <c r="AR188" t="s">
        <v>2959</v>
      </c>
      <c r="AS188" t="s">
        <v>2960</v>
      </c>
      <c r="AT188" t="s">
        <v>2847</v>
      </c>
      <c r="AU188">
        <v>2005</v>
      </c>
      <c r="AV188">
        <v>37</v>
      </c>
      <c r="AW188">
        <v>2</v>
      </c>
      <c r="AX188" t="s">
        <v>74</v>
      </c>
      <c r="AY188" t="s">
        <v>74</v>
      </c>
      <c r="AZ188" t="s">
        <v>74</v>
      </c>
      <c r="BA188" t="s">
        <v>74</v>
      </c>
      <c r="BB188" t="s">
        <v>74</v>
      </c>
      <c r="BC188" t="s">
        <v>74</v>
      </c>
      <c r="BD188" t="s">
        <v>74</v>
      </c>
      <c r="BE188" t="s">
        <v>74</v>
      </c>
      <c r="BF188" t="s">
        <v>74</v>
      </c>
      <c r="BG188" t="s">
        <v>74</v>
      </c>
      <c r="BH188" t="s">
        <v>74</v>
      </c>
      <c r="BI188">
        <v>1</v>
      </c>
      <c r="BJ188" t="s">
        <v>2962</v>
      </c>
      <c r="BK188" t="s">
        <v>95</v>
      </c>
      <c r="BL188" t="s">
        <v>2963</v>
      </c>
      <c r="BM188" t="s">
        <v>2964</v>
      </c>
      <c r="BN188" t="s">
        <v>74</v>
      </c>
      <c r="BO188" t="s">
        <v>74</v>
      </c>
      <c r="BP188" t="s">
        <v>74</v>
      </c>
      <c r="BQ188" t="s">
        <v>74</v>
      </c>
      <c r="BR188" t="s">
        <v>97</v>
      </c>
      <c r="BS188" t="s">
        <v>3121</v>
      </c>
      <c r="BT188" t="str">
        <f>HYPERLINK("https%3A%2F%2Fwww.webofscience.com%2Fwos%2Fwoscc%2Ffull-record%2FWOS:000229484200016","View Full Record in Web of Science")</f>
        <v>View Full Record in Web of Science</v>
      </c>
    </row>
    <row r="189" spans="1:72" x14ac:dyDescent="0.15">
      <c r="A189" t="s">
        <v>72</v>
      </c>
      <c r="B189" t="s">
        <v>3122</v>
      </c>
      <c r="C189" t="s">
        <v>74</v>
      </c>
      <c r="D189" t="s">
        <v>74</v>
      </c>
      <c r="E189" t="s">
        <v>74</v>
      </c>
      <c r="F189" t="s">
        <v>3122</v>
      </c>
      <c r="G189" t="s">
        <v>74</v>
      </c>
      <c r="H189" t="s">
        <v>74</v>
      </c>
      <c r="I189" t="s">
        <v>3123</v>
      </c>
      <c r="J189" t="s">
        <v>3124</v>
      </c>
      <c r="K189" t="s">
        <v>74</v>
      </c>
      <c r="L189" t="s">
        <v>74</v>
      </c>
      <c r="M189" t="s">
        <v>77</v>
      </c>
      <c r="N189" t="s">
        <v>78</v>
      </c>
      <c r="O189" t="s">
        <v>74</v>
      </c>
      <c r="P189" t="s">
        <v>74</v>
      </c>
      <c r="Q189" t="s">
        <v>74</v>
      </c>
      <c r="R189" t="s">
        <v>74</v>
      </c>
      <c r="S189" t="s">
        <v>74</v>
      </c>
      <c r="T189" t="s">
        <v>3125</v>
      </c>
      <c r="U189" t="s">
        <v>3126</v>
      </c>
      <c r="V189" t="s">
        <v>3127</v>
      </c>
      <c r="W189" t="s">
        <v>3128</v>
      </c>
      <c r="X189" t="s">
        <v>2537</v>
      </c>
      <c r="Y189" t="s">
        <v>3129</v>
      </c>
      <c r="Z189" t="s">
        <v>3130</v>
      </c>
      <c r="AA189" t="s">
        <v>74</v>
      </c>
      <c r="AB189" t="s">
        <v>3131</v>
      </c>
      <c r="AC189" t="s">
        <v>74</v>
      </c>
      <c r="AD189" t="s">
        <v>74</v>
      </c>
      <c r="AE189" t="s">
        <v>74</v>
      </c>
      <c r="AF189" t="s">
        <v>74</v>
      </c>
      <c r="AG189">
        <v>34</v>
      </c>
      <c r="AH189">
        <v>25</v>
      </c>
      <c r="AI189">
        <v>25</v>
      </c>
      <c r="AJ189">
        <v>0</v>
      </c>
      <c r="AK189">
        <v>16</v>
      </c>
      <c r="AL189" t="s">
        <v>255</v>
      </c>
      <c r="AM189" t="s">
        <v>256</v>
      </c>
      <c r="AN189" t="s">
        <v>257</v>
      </c>
      <c r="AO189" t="s">
        <v>3132</v>
      </c>
      <c r="AP189" t="s">
        <v>3133</v>
      </c>
      <c r="AQ189" t="s">
        <v>74</v>
      </c>
      <c r="AR189" t="s">
        <v>3134</v>
      </c>
      <c r="AS189" t="s">
        <v>3135</v>
      </c>
      <c r="AT189" t="s">
        <v>2847</v>
      </c>
      <c r="AU189">
        <v>2005</v>
      </c>
      <c r="AV189">
        <v>39</v>
      </c>
      <c r="AW189">
        <v>14</v>
      </c>
      <c r="AX189" t="s">
        <v>74</v>
      </c>
      <c r="AY189" t="s">
        <v>74</v>
      </c>
      <c r="AZ189" t="s">
        <v>74</v>
      </c>
      <c r="BA189" t="s">
        <v>74</v>
      </c>
      <c r="BB189">
        <v>2553</v>
      </c>
      <c r="BC189">
        <v>2557</v>
      </c>
      <c r="BD189" t="s">
        <v>74</v>
      </c>
      <c r="BE189" t="s">
        <v>3136</v>
      </c>
      <c r="BF189" t="str">
        <f>HYPERLINK("http://dx.doi.org/10.1016/j.atmosenv.2005.01.009","http://dx.doi.org/10.1016/j.atmosenv.2005.01.009")</f>
        <v>http://dx.doi.org/10.1016/j.atmosenv.2005.01.009</v>
      </c>
      <c r="BG189" t="s">
        <v>74</v>
      </c>
      <c r="BH189" t="s">
        <v>74</v>
      </c>
      <c r="BI189">
        <v>5</v>
      </c>
      <c r="BJ189" t="s">
        <v>2362</v>
      </c>
      <c r="BK189" t="s">
        <v>95</v>
      </c>
      <c r="BL189" t="s">
        <v>2363</v>
      </c>
      <c r="BM189" t="s">
        <v>3137</v>
      </c>
      <c r="BN189" t="s">
        <v>74</v>
      </c>
      <c r="BO189" t="s">
        <v>74</v>
      </c>
      <c r="BP189" t="s">
        <v>74</v>
      </c>
      <c r="BQ189" t="s">
        <v>74</v>
      </c>
      <c r="BR189" t="s">
        <v>97</v>
      </c>
      <c r="BS189" t="s">
        <v>3138</v>
      </c>
      <c r="BT189" t="str">
        <f>HYPERLINK("https%3A%2F%2Fwww.webofscience.com%2Fwos%2Fwoscc%2Ffull-record%2FWOS:000229277700005","View Full Record in Web of Science")</f>
        <v>View Full Record in Web of Science</v>
      </c>
    </row>
    <row r="190" spans="1:72" x14ac:dyDescent="0.15">
      <c r="A190" t="s">
        <v>72</v>
      </c>
      <c r="B190" t="s">
        <v>3139</v>
      </c>
      <c r="C190" t="s">
        <v>74</v>
      </c>
      <c r="D190" t="s">
        <v>74</v>
      </c>
      <c r="E190" t="s">
        <v>74</v>
      </c>
      <c r="F190" t="s">
        <v>3139</v>
      </c>
      <c r="G190" t="s">
        <v>74</v>
      </c>
      <c r="H190" t="s">
        <v>74</v>
      </c>
      <c r="I190" t="s">
        <v>3140</v>
      </c>
      <c r="J190" t="s">
        <v>3141</v>
      </c>
      <c r="K190" t="s">
        <v>74</v>
      </c>
      <c r="L190" t="s">
        <v>74</v>
      </c>
      <c r="M190" t="s">
        <v>77</v>
      </c>
      <c r="N190" t="s">
        <v>495</v>
      </c>
      <c r="O190" t="s">
        <v>3142</v>
      </c>
      <c r="P190" t="s">
        <v>3143</v>
      </c>
      <c r="Q190" t="s">
        <v>3144</v>
      </c>
      <c r="R190" t="s">
        <v>74</v>
      </c>
      <c r="S190" t="s">
        <v>74</v>
      </c>
      <c r="T190" t="s">
        <v>3145</v>
      </c>
      <c r="U190" t="s">
        <v>3146</v>
      </c>
      <c r="V190" t="s">
        <v>3147</v>
      </c>
      <c r="W190" t="s">
        <v>3148</v>
      </c>
      <c r="X190" t="s">
        <v>3149</v>
      </c>
      <c r="Y190" t="s">
        <v>3150</v>
      </c>
      <c r="Z190" t="s">
        <v>3151</v>
      </c>
      <c r="AA190" t="s">
        <v>3152</v>
      </c>
      <c r="AB190" t="s">
        <v>3153</v>
      </c>
      <c r="AC190" t="s">
        <v>74</v>
      </c>
      <c r="AD190" t="s">
        <v>74</v>
      </c>
      <c r="AE190" t="s">
        <v>74</v>
      </c>
      <c r="AF190" t="s">
        <v>74</v>
      </c>
      <c r="AG190">
        <v>58</v>
      </c>
      <c r="AH190">
        <v>5</v>
      </c>
      <c r="AI190">
        <v>5</v>
      </c>
      <c r="AJ190">
        <v>0</v>
      </c>
      <c r="AK190">
        <v>5</v>
      </c>
      <c r="AL190" t="s">
        <v>394</v>
      </c>
      <c r="AM190" t="s">
        <v>395</v>
      </c>
      <c r="AN190" t="s">
        <v>396</v>
      </c>
      <c r="AO190" t="s">
        <v>3154</v>
      </c>
      <c r="AP190" t="s">
        <v>3155</v>
      </c>
      <c r="AQ190" t="s">
        <v>74</v>
      </c>
      <c r="AR190" t="s">
        <v>3156</v>
      </c>
      <c r="AS190" t="s">
        <v>3157</v>
      </c>
      <c r="AT190" t="s">
        <v>3158</v>
      </c>
      <c r="AU190">
        <v>2005</v>
      </c>
      <c r="AV190">
        <v>23</v>
      </c>
      <c r="AW190" t="s">
        <v>961</v>
      </c>
      <c r="AX190" t="s">
        <v>74</v>
      </c>
      <c r="AY190" t="s">
        <v>74</v>
      </c>
      <c r="AZ190" t="s">
        <v>74</v>
      </c>
      <c r="BA190" t="s">
        <v>74</v>
      </c>
      <c r="BB190">
        <v>201</v>
      </c>
      <c r="BC190">
        <v>209</v>
      </c>
      <c r="BD190" t="s">
        <v>74</v>
      </c>
      <c r="BE190" t="s">
        <v>3159</v>
      </c>
      <c r="BF190" t="str">
        <f>HYPERLINK("http://dx.doi.org/10.1080/10242420500190605","http://dx.doi.org/10.1080/10242420500190605")</f>
        <v>http://dx.doi.org/10.1080/10242420500190605</v>
      </c>
      <c r="BG190" t="s">
        <v>74</v>
      </c>
      <c r="BH190" t="s">
        <v>74</v>
      </c>
      <c r="BI190">
        <v>9</v>
      </c>
      <c r="BJ190" t="s">
        <v>3160</v>
      </c>
      <c r="BK190" t="s">
        <v>514</v>
      </c>
      <c r="BL190" t="s">
        <v>3160</v>
      </c>
      <c r="BM190" t="s">
        <v>3161</v>
      </c>
      <c r="BN190" t="s">
        <v>74</v>
      </c>
      <c r="BO190" t="s">
        <v>74</v>
      </c>
      <c r="BP190" t="s">
        <v>74</v>
      </c>
      <c r="BQ190" t="s">
        <v>74</v>
      </c>
      <c r="BR190" t="s">
        <v>97</v>
      </c>
      <c r="BS190" t="s">
        <v>3162</v>
      </c>
      <c r="BT190" t="str">
        <f>HYPERLINK("https%3A%2F%2Fwww.webofscience.com%2Fwos%2Fwoscc%2Ffull-record%2FWOS:000233591500010","View Full Record in Web of Science")</f>
        <v>View Full Record in Web of Science</v>
      </c>
    </row>
    <row r="191" spans="1:72" x14ac:dyDescent="0.15">
      <c r="A191" t="s">
        <v>72</v>
      </c>
      <c r="B191" t="s">
        <v>3163</v>
      </c>
      <c r="C191" t="s">
        <v>74</v>
      </c>
      <c r="D191" t="s">
        <v>74</v>
      </c>
      <c r="E191" t="s">
        <v>74</v>
      </c>
      <c r="F191" t="s">
        <v>3163</v>
      </c>
      <c r="G191" t="s">
        <v>74</v>
      </c>
      <c r="H191" t="s">
        <v>74</v>
      </c>
      <c r="I191" t="s">
        <v>3164</v>
      </c>
      <c r="J191" t="s">
        <v>1335</v>
      </c>
      <c r="K191" t="s">
        <v>74</v>
      </c>
      <c r="L191" t="s">
        <v>74</v>
      </c>
      <c r="M191" t="s">
        <v>77</v>
      </c>
      <c r="N191" t="s">
        <v>78</v>
      </c>
      <c r="O191" t="s">
        <v>74</v>
      </c>
      <c r="P191" t="s">
        <v>74</v>
      </c>
      <c r="Q191" t="s">
        <v>74</v>
      </c>
      <c r="R191" t="s">
        <v>74</v>
      </c>
      <c r="S191" t="s">
        <v>74</v>
      </c>
      <c r="T191" t="s">
        <v>3165</v>
      </c>
      <c r="U191" t="s">
        <v>3166</v>
      </c>
      <c r="V191" t="s">
        <v>3167</v>
      </c>
      <c r="W191" t="s">
        <v>466</v>
      </c>
      <c r="X191" t="s">
        <v>467</v>
      </c>
      <c r="Y191" t="s">
        <v>3168</v>
      </c>
      <c r="Z191" t="s">
        <v>3169</v>
      </c>
      <c r="AA191" t="s">
        <v>3170</v>
      </c>
      <c r="AB191" t="s">
        <v>3171</v>
      </c>
      <c r="AC191" t="s">
        <v>74</v>
      </c>
      <c r="AD191" t="s">
        <v>74</v>
      </c>
      <c r="AE191" t="s">
        <v>74</v>
      </c>
      <c r="AF191" t="s">
        <v>74</v>
      </c>
      <c r="AG191">
        <v>43</v>
      </c>
      <c r="AH191">
        <v>62</v>
      </c>
      <c r="AI191">
        <v>65</v>
      </c>
      <c r="AJ191">
        <v>1</v>
      </c>
      <c r="AK191">
        <v>18</v>
      </c>
      <c r="AL191" t="s">
        <v>133</v>
      </c>
      <c r="AM191" t="s">
        <v>374</v>
      </c>
      <c r="AN191" t="s">
        <v>375</v>
      </c>
      <c r="AO191" t="s">
        <v>1345</v>
      </c>
      <c r="AP191" t="s">
        <v>3172</v>
      </c>
      <c r="AQ191" t="s">
        <v>74</v>
      </c>
      <c r="AR191" t="s">
        <v>1346</v>
      </c>
      <c r="AS191" t="s">
        <v>1347</v>
      </c>
      <c r="AT191" t="s">
        <v>2847</v>
      </c>
      <c r="AU191">
        <v>2005</v>
      </c>
      <c r="AV191">
        <v>115</v>
      </c>
      <c r="AW191">
        <v>2</v>
      </c>
      <c r="AX191" t="s">
        <v>74</v>
      </c>
      <c r="AY191" t="s">
        <v>74</v>
      </c>
      <c r="AZ191" t="s">
        <v>74</v>
      </c>
      <c r="BA191" t="s">
        <v>74</v>
      </c>
      <c r="BB191">
        <v>289</v>
      </c>
      <c r="BC191">
        <v>317</v>
      </c>
      <c r="BD191" t="s">
        <v>74</v>
      </c>
      <c r="BE191" t="s">
        <v>3173</v>
      </c>
      <c r="BF191" t="str">
        <f>HYPERLINK("http://dx.doi.org/10.1007/s10546-004-4631-1","http://dx.doi.org/10.1007/s10546-004-4631-1")</f>
        <v>http://dx.doi.org/10.1007/s10546-004-4631-1</v>
      </c>
      <c r="BG191" t="s">
        <v>74</v>
      </c>
      <c r="BH191" t="s">
        <v>74</v>
      </c>
      <c r="BI191">
        <v>29</v>
      </c>
      <c r="BJ191" t="s">
        <v>401</v>
      </c>
      <c r="BK191" t="s">
        <v>95</v>
      </c>
      <c r="BL191" t="s">
        <v>401</v>
      </c>
      <c r="BM191" t="s">
        <v>3174</v>
      </c>
      <c r="BN191" t="s">
        <v>74</v>
      </c>
      <c r="BO191" t="s">
        <v>74</v>
      </c>
      <c r="BP191" t="s">
        <v>74</v>
      </c>
      <c r="BQ191" t="s">
        <v>74</v>
      </c>
      <c r="BR191" t="s">
        <v>97</v>
      </c>
      <c r="BS191" t="s">
        <v>3175</v>
      </c>
      <c r="BT191" t="str">
        <f>HYPERLINK("https%3A%2F%2Fwww.webofscience.com%2Fwos%2Fwoscc%2Ffull-record%2FWOS:000227367300006","View Full Record in Web of Science")</f>
        <v>View Full Record in Web of Science</v>
      </c>
    </row>
    <row r="192" spans="1:72" x14ac:dyDescent="0.15">
      <c r="A192" t="s">
        <v>72</v>
      </c>
      <c r="B192" t="s">
        <v>3176</v>
      </c>
      <c r="C192" t="s">
        <v>74</v>
      </c>
      <c r="D192" t="s">
        <v>74</v>
      </c>
      <c r="E192" t="s">
        <v>74</v>
      </c>
      <c r="F192" t="s">
        <v>3176</v>
      </c>
      <c r="G192" t="s">
        <v>74</v>
      </c>
      <c r="H192" t="s">
        <v>74</v>
      </c>
      <c r="I192" t="s">
        <v>3177</v>
      </c>
      <c r="J192" t="s">
        <v>1417</v>
      </c>
      <c r="K192" t="s">
        <v>74</v>
      </c>
      <c r="L192" t="s">
        <v>74</v>
      </c>
      <c r="M192" t="s">
        <v>77</v>
      </c>
      <c r="N192" t="s">
        <v>78</v>
      </c>
      <c r="O192" t="s">
        <v>74</v>
      </c>
      <c r="P192" t="s">
        <v>74</v>
      </c>
      <c r="Q192" t="s">
        <v>74</v>
      </c>
      <c r="R192" t="s">
        <v>74</v>
      </c>
      <c r="S192" t="s">
        <v>74</v>
      </c>
      <c r="T192" t="s">
        <v>74</v>
      </c>
      <c r="U192" t="s">
        <v>3178</v>
      </c>
      <c r="V192" t="s">
        <v>3179</v>
      </c>
      <c r="W192" t="s">
        <v>3180</v>
      </c>
      <c r="X192" t="s">
        <v>3181</v>
      </c>
      <c r="Y192" t="s">
        <v>3182</v>
      </c>
      <c r="Z192" t="s">
        <v>3183</v>
      </c>
      <c r="AA192" t="s">
        <v>3184</v>
      </c>
      <c r="AB192" t="s">
        <v>3185</v>
      </c>
      <c r="AC192" t="s">
        <v>74</v>
      </c>
      <c r="AD192" t="s">
        <v>74</v>
      </c>
      <c r="AE192" t="s">
        <v>74</v>
      </c>
      <c r="AF192" t="s">
        <v>74</v>
      </c>
      <c r="AG192">
        <v>52</v>
      </c>
      <c r="AH192">
        <v>35</v>
      </c>
      <c r="AI192">
        <v>43</v>
      </c>
      <c r="AJ192">
        <v>0</v>
      </c>
      <c r="AK192">
        <v>17</v>
      </c>
      <c r="AL192" t="s">
        <v>133</v>
      </c>
      <c r="AM192" t="s">
        <v>134</v>
      </c>
      <c r="AN192" t="s">
        <v>181</v>
      </c>
      <c r="AO192" t="s">
        <v>1425</v>
      </c>
      <c r="AP192" t="s">
        <v>1426</v>
      </c>
      <c r="AQ192" t="s">
        <v>74</v>
      </c>
      <c r="AR192" t="s">
        <v>1427</v>
      </c>
      <c r="AS192" t="s">
        <v>1428</v>
      </c>
      <c r="AT192" t="s">
        <v>2847</v>
      </c>
      <c r="AU192">
        <v>2005</v>
      </c>
      <c r="AV192">
        <v>24</v>
      </c>
      <c r="AW192">
        <v>6</v>
      </c>
      <c r="AX192" t="s">
        <v>74</v>
      </c>
      <c r="AY192" t="s">
        <v>74</v>
      </c>
      <c r="AZ192" t="s">
        <v>74</v>
      </c>
      <c r="BA192" t="s">
        <v>74</v>
      </c>
      <c r="BB192">
        <v>641</v>
      </c>
      <c r="BC192">
        <v>654</v>
      </c>
      <c r="BD192" t="s">
        <v>74</v>
      </c>
      <c r="BE192" t="s">
        <v>3186</v>
      </c>
      <c r="BF192" t="str">
        <f>HYPERLINK("http://dx.doi.org/10.1007/s00382-005-0012-9","http://dx.doi.org/10.1007/s00382-005-0012-9")</f>
        <v>http://dx.doi.org/10.1007/s00382-005-0012-9</v>
      </c>
      <c r="BG192" t="s">
        <v>74</v>
      </c>
      <c r="BH192" t="s">
        <v>74</v>
      </c>
      <c r="BI192">
        <v>14</v>
      </c>
      <c r="BJ192" t="s">
        <v>401</v>
      </c>
      <c r="BK192" t="s">
        <v>95</v>
      </c>
      <c r="BL192" t="s">
        <v>401</v>
      </c>
      <c r="BM192" t="s">
        <v>3187</v>
      </c>
      <c r="BN192" t="s">
        <v>74</v>
      </c>
      <c r="BO192" t="s">
        <v>74</v>
      </c>
      <c r="BP192" t="s">
        <v>74</v>
      </c>
      <c r="BQ192" t="s">
        <v>74</v>
      </c>
      <c r="BR192" t="s">
        <v>97</v>
      </c>
      <c r="BS192" t="s">
        <v>3188</v>
      </c>
      <c r="BT192" t="str">
        <f>HYPERLINK("https%3A%2F%2Fwww.webofscience.com%2Fwos%2Fwoscc%2Ffull-record%2FWOS:000230091600008","View Full Record in Web of Science")</f>
        <v>View Full Record in Web of Science</v>
      </c>
    </row>
    <row r="193" spans="1:72" x14ac:dyDescent="0.15">
      <c r="A193" t="s">
        <v>72</v>
      </c>
      <c r="B193" t="s">
        <v>3189</v>
      </c>
      <c r="C193" t="s">
        <v>74</v>
      </c>
      <c r="D193" t="s">
        <v>74</v>
      </c>
      <c r="E193" t="s">
        <v>74</v>
      </c>
      <c r="F193" t="s">
        <v>3189</v>
      </c>
      <c r="G193" t="s">
        <v>74</v>
      </c>
      <c r="H193" t="s">
        <v>74</v>
      </c>
      <c r="I193" t="s">
        <v>3190</v>
      </c>
      <c r="J193" t="s">
        <v>3191</v>
      </c>
      <c r="K193" t="s">
        <v>74</v>
      </c>
      <c r="L193" t="s">
        <v>74</v>
      </c>
      <c r="M193" t="s">
        <v>77</v>
      </c>
      <c r="N193" t="s">
        <v>78</v>
      </c>
      <c r="O193" t="s">
        <v>74</v>
      </c>
      <c r="P193" t="s">
        <v>74</v>
      </c>
      <c r="Q193" t="s">
        <v>74</v>
      </c>
      <c r="R193" t="s">
        <v>74</v>
      </c>
      <c r="S193" t="s">
        <v>74</v>
      </c>
      <c r="T193" t="s">
        <v>3192</v>
      </c>
      <c r="U193" t="s">
        <v>3193</v>
      </c>
      <c r="V193" t="s">
        <v>3194</v>
      </c>
      <c r="W193" t="s">
        <v>3195</v>
      </c>
      <c r="X193" t="s">
        <v>3196</v>
      </c>
      <c r="Y193" t="s">
        <v>3197</v>
      </c>
      <c r="Z193" t="s">
        <v>3198</v>
      </c>
      <c r="AA193" t="s">
        <v>74</v>
      </c>
      <c r="AB193" t="s">
        <v>74</v>
      </c>
      <c r="AC193" t="s">
        <v>74</v>
      </c>
      <c r="AD193" t="s">
        <v>74</v>
      </c>
      <c r="AE193" t="s">
        <v>74</v>
      </c>
      <c r="AF193" t="s">
        <v>74</v>
      </c>
      <c r="AG193">
        <v>70</v>
      </c>
      <c r="AH193">
        <v>14</v>
      </c>
      <c r="AI193">
        <v>16</v>
      </c>
      <c r="AJ193">
        <v>0</v>
      </c>
      <c r="AK193">
        <v>11</v>
      </c>
      <c r="AL193" t="s">
        <v>2332</v>
      </c>
      <c r="AM193" t="s">
        <v>134</v>
      </c>
      <c r="AN193" t="s">
        <v>2333</v>
      </c>
      <c r="AO193" t="s">
        <v>3199</v>
      </c>
      <c r="AP193" t="s">
        <v>3200</v>
      </c>
      <c r="AQ193" t="s">
        <v>74</v>
      </c>
      <c r="AR193" t="s">
        <v>3201</v>
      </c>
      <c r="AS193" t="s">
        <v>3202</v>
      </c>
      <c r="AT193" t="s">
        <v>2847</v>
      </c>
      <c r="AU193">
        <v>2005</v>
      </c>
      <c r="AV193">
        <v>141</v>
      </c>
      <c r="AW193">
        <v>1</v>
      </c>
      <c r="AX193" t="s">
        <v>74</v>
      </c>
      <c r="AY193" t="s">
        <v>74</v>
      </c>
      <c r="AZ193" t="s">
        <v>74</v>
      </c>
      <c r="BA193" t="s">
        <v>74</v>
      </c>
      <c r="BB193">
        <v>111</v>
      </c>
      <c r="BC193">
        <v>120</v>
      </c>
      <c r="BD193" t="s">
        <v>74</v>
      </c>
      <c r="BE193" t="s">
        <v>3203</v>
      </c>
      <c r="BF193" t="str">
        <f>HYPERLINK("http://dx.doi.org/10.1016/j.cbpc.2005.02.003","http://dx.doi.org/10.1016/j.cbpc.2005.02.003")</f>
        <v>http://dx.doi.org/10.1016/j.cbpc.2005.02.003</v>
      </c>
      <c r="BG193" t="s">
        <v>74</v>
      </c>
      <c r="BH193" t="s">
        <v>74</v>
      </c>
      <c r="BI193">
        <v>10</v>
      </c>
      <c r="BJ193" t="s">
        <v>3204</v>
      </c>
      <c r="BK193" t="s">
        <v>95</v>
      </c>
      <c r="BL193" t="s">
        <v>3204</v>
      </c>
      <c r="BM193" t="s">
        <v>3205</v>
      </c>
      <c r="BN193">
        <v>15820141</v>
      </c>
      <c r="BO193" t="s">
        <v>74</v>
      </c>
      <c r="BP193" t="s">
        <v>74</v>
      </c>
      <c r="BQ193" t="s">
        <v>74</v>
      </c>
      <c r="BR193" t="s">
        <v>97</v>
      </c>
      <c r="BS193" t="s">
        <v>3206</v>
      </c>
      <c r="BT193" t="str">
        <f>HYPERLINK("https%3A%2F%2Fwww.webofscience.com%2Fwos%2Fwoscc%2Ffull-record%2FWOS:000228710100014","View Full Record in Web of Science")</f>
        <v>View Full Record in Web of Science</v>
      </c>
    </row>
    <row r="194" spans="1:72" x14ac:dyDescent="0.15">
      <c r="A194" t="s">
        <v>72</v>
      </c>
      <c r="B194" t="s">
        <v>3207</v>
      </c>
      <c r="C194" t="s">
        <v>74</v>
      </c>
      <c r="D194" t="s">
        <v>74</v>
      </c>
      <c r="E194" t="s">
        <v>74</v>
      </c>
      <c r="F194" t="s">
        <v>3207</v>
      </c>
      <c r="G194" t="s">
        <v>74</v>
      </c>
      <c r="H194" t="s">
        <v>74</v>
      </c>
      <c r="I194" t="s">
        <v>3208</v>
      </c>
      <c r="J194" t="s">
        <v>1457</v>
      </c>
      <c r="K194" t="s">
        <v>74</v>
      </c>
      <c r="L194" t="s">
        <v>74</v>
      </c>
      <c r="M194" t="s">
        <v>77</v>
      </c>
      <c r="N194" t="s">
        <v>78</v>
      </c>
      <c r="O194" t="s">
        <v>74</v>
      </c>
      <c r="P194" t="s">
        <v>74</v>
      </c>
      <c r="Q194" t="s">
        <v>74</v>
      </c>
      <c r="R194" t="s">
        <v>74</v>
      </c>
      <c r="S194" t="s">
        <v>74</v>
      </c>
      <c r="T194" t="s">
        <v>3209</v>
      </c>
      <c r="U194" t="s">
        <v>74</v>
      </c>
      <c r="V194" t="s">
        <v>3210</v>
      </c>
      <c r="W194" t="s">
        <v>3211</v>
      </c>
      <c r="X194" t="s">
        <v>3212</v>
      </c>
      <c r="Y194" t="s">
        <v>3213</v>
      </c>
      <c r="Z194" t="s">
        <v>3214</v>
      </c>
      <c r="AA194" t="s">
        <v>3215</v>
      </c>
      <c r="AB194" t="s">
        <v>3216</v>
      </c>
      <c r="AC194" t="s">
        <v>74</v>
      </c>
      <c r="AD194" t="s">
        <v>74</v>
      </c>
      <c r="AE194" t="s">
        <v>74</v>
      </c>
      <c r="AF194" t="s">
        <v>74</v>
      </c>
      <c r="AG194">
        <v>0</v>
      </c>
      <c r="AH194">
        <v>55</v>
      </c>
      <c r="AI194">
        <v>56</v>
      </c>
      <c r="AJ194">
        <v>0</v>
      </c>
      <c r="AK194">
        <v>26</v>
      </c>
      <c r="AL194" t="s">
        <v>255</v>
      </c>
      <c r="AM194" t="s">
        <v>256</v>
      </c>
      <c r="AN194" t="s">
        <v>257</v>
      </c>
      <c r="AO194" t="s">
        <v>1467</v>
      </c>
      <c r="AP194" t="s">
        <v>74</v>
      </c>
      <c r="AQ194" t="s">
        <v>74</v>
      </c>
      <c r="AR194" t="s">
        <v>1469</v>
      </c>
      <c r="AS194" t="s">
        <v>1470</v>
      </c>
      <c r="AT194" t="s">
        <v>2847</v>
      </c>
      <c r="AU194">
        <v>2005</v>
      </c>
      <c r="AV194">
        <v>52</v>
      </c>
      <c r="AW194">
        <v>5</v>
      </c>
      <c r="AX194" t="s">
        <v>74</v>
      </c>
      <c r="AY194" t="s">
        <v>74</v>
      </c>
      <c r="AZ194" t="s">
        <v>74</v>
      </c>
      <c r="BA194" t="s">
        <v>74</v>
      </c>
      <c r="BB194">
        <v>721</v>
      </c>
      <c r="BC194">
        <v>748</v>
      </c>
      <c r="BD194" t="s">
        <v>74</v>
      </c>
      <c r="BE194" t="s">
        <v>3217</v>
      </c>
      <c r="BF194" t="str">
        <f>HYPERLINK("http://dx.doi.org/10.1016/j.dsr.2004.12.003","http://dx.doi.org/10.1016/j.dsr.2004.12.003")</f>
        <v>http://dx.doi.org/10.1016/j.dsr.2004.12.003</v>
      </c>
      <c r="BG194" t="s">
        <v>74</v>
      </c>
      <c r="BH194" t="s">
        <v>74</v>
      </c>
      <c r="BI194">
        <v>28</v>
      </c>
      <c r="BJ194" t="s">
        <v>632</v>
      </c>
      <c r="BK194" t="s">
        <v>95</v>
      </c>
      <c r="BL194" t="s">
        <v>632</v>
      </c>
      <c r="BM194" t="s">
        <v>3218</v>
      </c>
      <c r="BN194" t="s">
        <v>74</v>
      </c>
      <c r="BO194" t="s">
        <v>74</v>
      </c>
      <c r="BP194" t="s">
        <v>74</v>
      </c>
      <c r="BQ194" t="s">
        <v>74</v>
      </c>
      <c r="BR194" t="s">
        <v>97</v>
      </c>
      <c r="BS194" t="s">
        <v>3219</v>
      </c>
      <c r="BT194" t="str">
        <f>HYPERLINK("https%3A%2F%2Fwww.webofscience.com%2Fwos%2Fwoscc%2Ffull-record%2FWOS:000228948800004","View Full Record in Web of Science")</f>
        <v>View Full Record in Web of Science</v>
      </c>
    </row>
    <row r="195" spans="1:72" x14ac:dyDescent="0.15">
      <c r="A195" t="s">
        <v>72</v>
      </c>
      <c r="B195" t="s">
        <v>3220</v>
      </c>
      <c r="C195" t="s">
        <v>74</v>
      </c>
      <c r="D195" t="s">
        <v>74</v>
      </c>
      <c r="E195" t="s">
        <v>74</v>
      </c>
      <c r="F195" t="s">
        <v>3220</v>
      </c>
      <c r="G195" t="s">
        <v>74</v>
      </c>
      <c r="H195" t="s">
        <v>74</v>
      </c>
      <c r="I195" t="s">
        <v>3221</v>
      </c>
      <c r="J195" t="s">
        <v>3222</v>
      </c>
      <c r="K195" t="s">
        <v>74</v>
      </c>
      <c r="L195" t="s">
        <v>74</v>
      </c>
      <c r="M195" t="s">
        <v>77</v>
      </c>
      <c r="N195" t="s">
        <v>78</v>
      </c>
      <c r="O195" t="s">
        <v>74</v>
      </c>
      <c r="P195" t="s">
        <v>74</v>
      </c>
      <c r="Q195" t="s">
        <v>74</v>
      </c>
      <c r="R195" t="s">
        <v>74</v>
      </c>
      <c r="S195" t="s">
        <v>74</v>
      </c>
      <c r="T195" t="s">
        <v>74</v>
      </c>
      <c r="U195" t="s">
        <v>74</v>
      </c>
      <c r="V195" t="s">
        <v>74</v>
      </c>
      <c r="W195" t="s">
        <v>3223</v>
      </c>
      <c r="X195" t="s">
        <v>3224</v>
      </c>
      <c r="Y195" t="s">
        <v>3225</v>
      </c>
      <c r="Z195" t="s">
        <v>74</v>
      </c>
      <c r="AA195" t="s">
        <v>3226</v>
      </c>
      <c r="AB195" t="s">
        <v>74</v>
      </c>
      <c r="AC195" t="s">
        <v>74</v>
      </c>
      <c r="AD195" t="s">
        <v>74</v>
      </c>
      <c r="AE195" t="s">
        <v>74</v>
      </c>
      <c r="AF195" t="s">
        <v>74</v>
      </c>
      <c r="AG195">
        <v>16</v>
      </c>
      <c r="AH195">
        <v>3</v>
      </c>
      <c r="AI195">
        <v>3</v>
      </c>
      <c r="AJ195">
        <v>0</v>
      </c>
      <c r="AK195">
        <v>2</v>
      </c>
      <c r="AL195" t="s">
        <v>3227</v>
      </c>
      <c r="AM195" t="s">
        <v>134</v>
      </c>
      <c r="AN195" t="s">
        <v>3228</v>
      </c>
      <c r="AO195" t="s">
        <v>3229</v>
      </c>
      <c r="AP195" t="s">
        <v>3230</v>
      </c>
      <c r="AQ195" t="s">
        <v>74</v>
      </c>
      <c r="AR195" t="s">
        <v>3231</v>
      </c>
      <c r="AS195" t="s">
        <v>3232</v>
      </c>
      <c r="AT195" t="s">
        <v>2826</v>
      </c>
      <c r="AU195">
        <v>2005</v>
      </c>
      <c r="AV195">
        <v>402</v>
      </c>
      <c r="AW195">
        <v>4</v>
      </c>
      <c r="AX195" t="s">
        <v>74</v>
      </c>
      <c r="AY195" t="s">
        <v>74</v>
      </c>
      <c r="AZ195" t="s">
        <v>74</v>
      </c>
      <c r="BA195" t="s">
        <v>74</v>
      </c>
      <c r="BB195">
        <v>649</v>
      </c>
      <c r="BC195">
        <v>653</v>
      </c>
      <c r="BD195" t="s">
        <v>74</v>
      </c>
      <c r="BE195" t="s">
        <v>74</v>
      </c>
      <c r="BF195" t="s">
        <v>74</v>
      </c>
      <c r="BG195" t="s">
        <v>74</v>
      </c>
      <c r="BH195" t="s">
        <v>74</v>
      </c>
      <c r="BI195">
        <v>5</v>
      </c>
      <c r="BJ195" t="s">
        <v>537</v>
      </c>
      <c r="BK195" t="s">
        <v>95</v>
      </c>
      <c r="BL195" t="s">
        <v>307</v>
      </c>
      <c r="BM195" t="s">
        <v>3233</v>
      </c>
      <c r="BN195" t="s">
        <v>74</v>
      </c>
      <c r="BO195" t="s">
        <v>74</v>
      </c>
      <c r="BP195" t="s">
        <v>74</v>
      </c>
      <c r="BQ195" t="s">
        <v>74</v>
      </c>
      <c r="BR195" t="s">
        <v>97</v>
      </c>
      <c r="BS195" t="s">
        <v>3234</v>
      </c>
      <c r="BT195" t="str">
        <f>HYPERLINK("https%3A%2F%2Fwww.webofscience.com%2Fwos%2Fwoscc%2Ffull-record%2FWOS:000230371200036","View Full Record in Web of Science")</f>
        <v>View Full Record in Web of Science</v>
      </c>
    </row>
    <row r="196" spans="1:72" x14ac:dyDescent="0.15">
      <c r="A196" t="s">
        <v>72</v>
      </c>
      <c r="B196" t="s">
        <v>3235</v>
      </c>
      <c r="C196" t="s">
        <v>74</v>
      </c>
      <c r="D196" t="s">
        <v>74</v>
      </c>
      <c r="E196" t="s">
        <v>74</v>
      </c>
      <c r="F196" t="s">
        <v>3236</v>
      </c>
      <c r="G196" t="s">
        <v>74</v>
      </c>
      <c r="H196" t="s">
        <v>74</v>
      </c>
      <c r="I196" t="s">
        <v>3237</v>
      </c>
      <c r="J196" t="s">
        <v>3238</v>
      </c>
      <c r="K196" t="s">
        <v>74</v>
      </c>
      <c r="L196" t="s">
        <v>74</v>
      </c>
      <c r="M196" t="s">
        <v>291</v>
      </c>
      <c r="N196" t="s">
        <v>78</v>
      </c>
      <c r="O196" t="s">
        <v>74</v>
      </c>
      <c r="P196" t="s">
        <v>74</v>
      </c>
      <c r="Q196" t="s">
        <v>74</v>
      </c>
      <c r="R196" t="s">
        <v>74</v>
      </c>
      <c r="S196" t="s">
        <v>74</v>
      </c>
      <c r="T196" t="s">
        <v>74</v>
      </c>
      <c r="U196" t="s">
        <v>74</v>
      </c>
      <c r="V196" t="s">
        <v>3239</v>
      </c>
      <c r="W196" t="s">
        <v>3240</v>
      </c>
      <c r="X196" t="s">
        <v>3241</v>
      </c>
      <c r="Y196" t="s">
        <v>3242</v>
      </c>
      <c r="Z196" t="s">
        <v>74</v>
      </c>
      <c r="AA196" t="s">
        <v>74</v>
      </c>
      <c r="AB196" t="s">
        <v>74</v>
      </c>
      <c r="AC196" t="s">
        <v>74</v>
      </c>
      <c r="AD196" t="s">
        <v>74</v>
      </c>
      <c r="AE196" t="s">
        <v>74</v>
      </c>
      <c r="AF196" t="s">
        <v>74</v>
      </c>
      <c r="AG196">
        <v>0</v>
      </c>
      <c r="AH196">
        <v>2</v>
      </c>
      <c r="AI196">
        <v>2</v>
      </c>
      <c r="AJ196">
        <v>0</v>
      </c>
      <c r="AK196">
        <v>2</v>
      </c>
      <c r="AL196" t="s">
        <v>3243</v>
      </c>
      <c r="AM196" t="s">
        <v>3244</v>
      </c>
      <c r="AN196" t="s">
        <v>3245</v>
      </c>
      <c r="AO196" t="s">
        <v>3246</v>
      </c>
      <c r="AP196" t="s">
        <v>74</v>
      </c>
      <c r="AQ196" t="s">
        <v>74</v>
      </c>
      <c r="AR196" t="s">
        <v>3238</v>
      </c>
      <c r="AS196" t="s">
        <v>3247</v>
      </c>
      <c r="AT196" t="s">
        <v>3158</v>
      </c>
      <c r="AU196">
        <v>2005</v>
      </c>
      <c r="AV196">
        <v>14</v>
      </c>
      <c r="AW196">
        <v>2</v>
      </c>
      <c r="AX196" t="s">
        <v>74</v>
      </c>
      <c r="AY196" t="s">
        <v>74</v>
      </c>
      <c r="AZ196" t="s">
        <v>74</v>
      </c>
      <c r="BA196" t="s">
        <v>74</v>
      </c>
      <c r="BB196">
        <v>66</v>
      </c>
      <c r="BC196">
        <v>78</v>
      </c>
      <c r="BD196" t="s">
        <v>74</v>
      </c>
      <c r="BE196" t="s">
        <v>74</v>
      </c>
      <c r="BF196" t="s">
        <v>74</v>
      </c>
      <c r="BG196" t="s">
        <v>74</v>
      </c>
      <c r="BH196" t="s">
        <v>74</v>
      </c>
      <c r="BI196">
        <v>13</v>
      </c>
      <c r="BJ196" t="s">
        <v>3248</v>
      </c>
      <c r="BK196" t="s">
        <v>3249</v>
      </c>
      <c r="BL196" t="s">
        <v>219</v>
      </c>
      <c r="BM196" t="s">
        <v>3250</v>
      </c>
      <c r="BN196" t="s">
        <v>74</v>
      </c>
      <c r="BO196" t="s">
        <v>74</v>
      </c>
      <c r="BP196" t="s">
        <v>74</v>
      </c>
      <c r="BQ196" t="s">
        <v>74</v>
      </c>
      <c r="BR196" t="s">
        <v>97</v>
      </c>
      <c r="BS196" t="s">
        <v>3251</v>
      </c>
      <c r="BT196" t="str">
        <f>HYPERLINK("https%3A%2F%2Fwww.webofscience.com%2Fwos%2Fwoscc%2Ffull-record%2FWOS:000415366100005","View Full Record in Web of Science")</f>
        <v>View Full Record in Web of Science</v>
      </c>
    </row>
    <row r="197" spans="1:72" x14ac:dyDescent="0.15">
      <c r="A197" t="s">
        <v>72</v>
      </c>
      <c r="B197" t="s">
        <v>3252</v>
      </c>
      <c r="C197" t="s">
        <v>74</v>
      </c>
      <c r="D197" t="s">
        <v>74</v>
      </c>
      <c r="E197" t="s">
        <v>74</v>
      </c>
      <c r="F197" t="s">
        <v>3252</v>
      </c>
      <c r="G197" t="s">
        <v>74</v>
      </c>
      <c r="H197" t="s">
        <v>74</v>
      </c>
      <c r="I197" t="s">
        <v>3253</v>
      </c>
      <c r="J197" t="s">
        <v>3254</v>
      </c>
      <c r="K197" t="s">
        <v>74</v>
      </c>
      <c r="L197" t="s">
        <v>74</v>
      </c>
      <c r="M197" t="s">
        <v>77</v>
      </c>
      <c r="N197" t="s">
        <v>78</v>
      </c>
      <c r="O197" t="s">
        <v>74</v>
      </c>
      <c r="P197" t="s">
        <v>74</v>
      </c>
      <c r="Q197" t="s">
        <v>74</v>
      </c>
      <c r="R197" t="s">
        <v>74</v>
      </c>
      <c r="S197" t="s">
        <v>74</v>
      </c>
      <c r="T197" t="s">
        <v>3255</v>
      </c>
      <c r="U197" t="s">
        <v>3256</v>
      </c>
      <c r="V197" t="s">
        <v>3257</v>
      </c>
      <c r="W197" t="s">
        <v>3258</v>
      </c>
      <c r="X197" t="s">
        <v>3259</v>
      </c>
      <c r="Y197" t="s">
        <v>74</v>
      </c>
      <c r="Z197" t="s">
        <v>3260</v>
      </c>
      <c r="AA197" t="s">
        <v>3261</v>
      </c>
      <c r="AB197" t="s">
        <v>3262</v>
      </c>
      <c r="AC197" t="s">
        <v>74</v>
      </c>
      <c r="AD197" t="s">
        <v>74</v>
      </c>
      <c r="AE197" t="s">
        <v>74</v>
      </c>
      <c r="AF197" t="s">
        <v>74</v>
      </c>
      <c r="AG197">
        <v>68</v>
      </c>
      <c r="AH197">
        <v>68</v>
      </c>
      <c r="AI197">
        <v>75</v>
      </c>
      <c r="AJ197">
        <v>0</v>
      </c>
      <c r="AK197">
        <v>7</v>
      </c>
      <c r="AL197" t="s">
        <v>472</v>
      </c>
      <c r="AM197" t="s">
        <v>473</v>
      </c>
      <c r="AN197" t="s">
        <v>474</v>
      </c>
      <c r="AO197" t="s">
        <v>3263</v>
      </c>
      <c r="AP197" t="s">
        <v>3264</v>
      </c>
      <c r="AQ197" t="s">
        <v>74</v>
      </c>
      <c r="AR197" t="s">
        <v>3254</v>
      </c>
      <c r="AS197" t="s">
        <v>3265</v>
      </c>
      <c r="AT197" t="s">
        <v>2847</v>
      </c>
      <c r="AU197">
        <v>2005</v>
      </c>
      <c r="AV197">
        <v>59</v>
      </c>
      <c r="AW197">
        <v>5</v>
      </c>
      <c r="AX197" t="s">
        <v>74</v>
      </c>
      <c r="AY197" t="s">
        <v>74</v>
      </c>
      <c r="AZ197" t="s">
        <v>74</v>
      </c>
      <c r="BA197" t="s">
        <v>74</v>
      </c>
      <c r="BB197">
        <v>1119</v>
      </c>
      <c r="BC197">
        <v>1127</v>
      </c>
      <c r="BD197" t="s">
        <v>74</v>
      </c>
      <c r="BE197" t="s">
        <v>74</v>
      </c>
      <c r="BF197" t="s">
        <v>74</v>
      </c>
      <c r="BG197" t="s">
        <v>74</v>
      </c>
      <c r="BH197" t="s">
        <v>74</v>
      </c>
      <c r="BI197">
        <v>9</v>
      </c>
      <c r="BJ197" t="s">
        <v>3266</v>
      </c>
      <c r="BK197" t="s">
        <v>95</v>
      </c>
      <c r="BL197" t="s">
        <v>3267</v>
      </c>
      <c r="BM197" t="s">
        <v>3268</v>
      </c>
      <c r="BN197">
        <v>16136809</v>
      </c>
      <c r="BO197" t="s">
        <v>74</v>
      </c>
      <c r="BP197" t="s">
        <v>74</v>
      </c>
      <c r="BQ197" t="s">
        <v>74</v>
      </c>
      <c r="BR197" t="s">
        <v>97</v>
      </c>
      <c r="BS197" t="s">
        <v>3269</v>
      </c>
      <c r="BT197" t="str">
        <f>HYPERLINK("https%3A%2F%2Fwww.webofscience.com%2Fwos%2Fwoscc%2Ffull-record%2FWOS:000229456800017","View Full Record in Web of Science")</f>
        <v>View Full Record in Web of Science</v>
      </c>
    </row>
    <row r="198" spans="1:72" x14ac:dyDescent="0.15">
      <c r="A198" t="s">
        <v>72</v>
      </c>
      <c r="B198" t="s">
        <v>3270</v>
      </c>
      <c r="C198" t="s">
        <v>74</v>
      </c>
      <c r="D198" t="s">
        <v>74</v>
      </c>
      <c r="E198" t="s">
        <v>74</v>
      </c>
      <c r="F198" t="s">
        <v>3270</v>
      </c>
      <c r="G198" t="s">
        <v>74</v>
      </c>
      <c r="H198" t="s">
        <v>74</v>
      </c>
      <c r="I198" t="s">
        <v>3271</v>
      </c>
      <c r="J198" t="s">
        <v>3272</v>
      </c>
      <c r="K198" t="s">
        <v>74</v>
      </c>
      <c r="L198" t="s">
        <v>74</v>
      </c>
      <c r="M198" t="s">
        <v>77</v>
      </c>
      <c r="N198" t="s">
        <v>78</v>
      </c>
      <c r="O198" t="s">
        <v>74</v>
      </c>
      <c r="P198" t="s">
        <v>74</v>
      </c>
      <c r="Q198" t="s">
        <v>74</v>
      </c>
      <c r="R198" t="s">
        <v>74</v>
      </c>
      <c r="S198" t="s">
        <v>74</v>
      </c>
      <c r="T198" t="s">
        <v>3273</v>
      </c>
      <c r="U198" t="s">
        <v>3274</v>
      </c>
      <c r="V198" t="s">
        <v>3275</v>
      </c>
      <c r="W198" t="s">
        <v>3276</v>
      </c>
      <c r="X198" t="s">
        <v>3277</v>
      </c>
      <c r="Y198" t="s">
        <v>2616</v>
      </c>
      <c r="Z198" t="s">
        <v>3278</v>
      </c>
      <c r="AA198" t="s">
        <v>3279</v>
      </c>
      <c r="AB198" t="s">
        <v>3280</v>
      </c>
      <c r="AC198" t="s">
        <v>74</v>
      </c>
      <c r="AD198" t="s">
        <v>74</v>
      </c>
      <c r="AE198" t="s">
        <v>74</v>
      </c>
      <c r="AF198" t="s">
        <v>74</v>
      </c>
      <c r="AG198">
        <v>53</v>
      </c>
      <c r="AH198">
        <v>25</v>
      </c>
      <c r="AI198">
        <v>28</v>
      </c>
      <c r="AJ198">
        <v>0</v>
      </c>
      <c r="AK198">
        <v>15</v>
      </c>
      <c r="AL198" t="s">
        <v>472</v>
      </c>
      <c r="AM198" t="s">
        <v>473</v>
      </c>
      <c r="AN198" t="s">
        <v>474</v>
      </c>
      <c r="AO198" t="s">
        <v>3281</v>
      </c>
      <c r="AP198" t="s">
        <v>3282</v>
      </c>
      <c r="AQ198" t="s">
        <v>74</v>
      </c>
      <c r="AR198" t="s">
        <v>3283</v>
      </c>
      <c r="AS198" t="s">
        <v>3284</v>
      </c>
      <c r="AT198" t="s">
        <v>2847</v>
      </c>
      <c r="AU198">
        <v>2005</v>
      </c>
      <c r="AV198">
        <v>14</v>
      </c>
      <c r="AW198">
        <v>3</v>
      </c>
      <c r="AX198" t="s">
        <v>74</v>
      </c>
      <c r="AY198" t="s">
        <v>74</v>
      </c>
      <c r="AZ198" t="s">
        <v>74</v>
      </c>
      <c r="BA198" t="s">
        <v>74</v>
      </c>
      <c r="BB198">
        <v>161</v>
      </c>
      <c r="BC198">
        <v>174</v>
      </c>
      <c r="BD198" t="s">
        <v>74</v>
      </c>
      <c r="BE198" t="s">
        <v>3285</v>
      </c>
      <c r="BF198" t="str">
        <f>HYPERLINK("http://dx.doi.org/10.1111/j.1365-2419.2005.00327.x","http://dx.doi.org/10.1111/j.1365-2419.2005.00327.x")</f>
        <v>http://dx.doi.org/10.1111/j.1365-2419.2005.00327.x</v>
      </c>
      <c r="BG198" t="s">
        <v>74</v>
      </c>
      <c r="BH198" t="s">
        <v>74</v>
      </c>
      <c r="BI198">
        <v>14</v>
      </c>
      <c r="BJ198" t="s">
        <v>3286</v>
      </c>
      <c r="BK198" t="s">
        <v>95</v>
      </c>
      <c r="BL198" t="s">
        <v>3286</v>
      </c>
      <c r="BM198" t="s">
        <v>3287</v>
      </c>
      <c r="BN198" t="s">
        <v>74</v>
      </c>
      <c r="BO198" t="s">
        <v>74</v>
      </c>
      <c r="BP198" t="s">
        <v>74</v>
      </c>
      <c r="BQ198" t="s">
        <v>74</v>
      </c>
      <c r="BR198" t="s">
        <v>97</v>
      </c>
      <c r="BS198" t="s">
        <v>3288</v>
      </c>
      <c r="BT198" t="str">
        <f>HYPERLINK("https%3A%2F%2Fwww.webofscience.com%2Fwos%2Fwoscc%2Ffull-record%2FWOS:000228489600001","View Full Record in Web of Science")</f>
        <v>View Full Record in Web of Science</v>
      </c>
    </row>
    <row r="199" spans="1:72" x14ac:dyDescent="0.15">
      <c r="A199" t="s">
        <v>72</v>
      </c>
      <c r="B199" t="s">
        <v>3289</v>
      </c>
      <c r="C199" t="s">
        <v>74</v>
      </c>
      <c r="D199" t="s">
        <v>74</v>
      </c>
      <c r="E199" t="s">
        <v>74</v>
      </c>
      <c r="F199" t="s">
        <v>3289</v>
      </c>
      <c r="G199" t="s">
        <v>74</v>
      </c>
      <c r="H199" t="s">
        <v>74</v>
      </c>
      <c r="I199" t="s">
        <v>3290</v>
      </c>
      <c r="J199" t="s">
        <v>3291</v>
      </c>
      <c r="K199" t="s">
        <v>74</v>
      </c>
      <c r="L199" t="s">
        <v>74</v>
      </c>
      <c r="M199" t="s">
        <v>77</v>
      </c>
      <c r="N199" t="s">
        <v>78</v>
      </c>
      <c r="O199" t="s">
        <v>74</v>
      </c>
      <c r="P199" t="s">
        <v>74</v>
      </c>
      <c r="Q199" t="s">
        <v>74</v>
      </c>
      <c r="R199" t="s">
        <v>74</v>
      </c>
      <c r="S199" t="s">
        <v>74</v>
      </c>
      <c r="T199" t="s">
        <v>3292</v>
      </c>
      <c r="U199" t="s">
        <v>3293</v>
      </c>
      <c r="V199" t="s">
        <v>3294</v>
      </c>
      <c r="W199" t="s">
        <v>3295</v>
      </c>
      <c r="X199" t="s">
        <v>3296</v>
      </c>
      <c r="Y199" t="s">
        <v>3297</v>
      </c>
      <c r="Z199" t="s">
        <v>3298</v>
      </c>
      <c r="AA199" t="s">
        <v>74</v>
      </c>
      <c r="AB199" t="s">
        <v>74</v>
      </c>
      <c r="AC199" t="s">
        <v>74</v>
      </c>
      <c r="AD199" t="s">
        <v>74</v>
      </c>
      <c r="AE199" t="s">
        <v>74</v>
      </c>
      <c r="AF199" t="s">
        <v>74</v>
      </c>
      <c r="AG199">
        <v>45</v>
      </c>
      <c r="AH199">
        <v>51</v>
      </c>
      <c r="AI199">
        <v>56</v>
      </c>
      <c r="AJ199">
        <v>0</v>
      </c>
      <c r="AK199">
        <v>23</v>
      </c>
      <c r="AL199" t="s">
        <v>472</v>
      </c>
      <c r="AM199" t="s">
        <v>473</v>
      </c>
      <c r="AN199" t="s">
        <v>474</v>
      </c>
      <c r="AO199" t="s">
        <v>3299</v>
      </c>
      <c r="AP199" t="s">
        <v>3300</v>
      </c>
      <c r="AQ199" t="s">
        <v>74</v>
      </c>
      <c r="AR199" t="s">
        <v>3301</v>
      </c>
      <c r="AS199" t="s">
        <v>3302</v>
      </c>
      <c r="AT199" t="s">
        <v>2847</v>
      </c>
      <c r="AU199">
        <v>2005</v>
      </c>
      <c r="AV199">
        <v>50</v>
      </c>
      <c r="AW199">
        <v>5</v>
      </c>
      <c r="AX199" t="s">
        <v>74</v>
      </c>
      <c r="AY199" t="s">
        <v>74</v>
      </c>
      <c r="AZ199" t="s">
        <v>74</v>
      </c>
      <c r="BA199" t="s">
        <v>74</v>
      </c>
      <c r="BB199">
        <v>830</v>
      </c>
      <c r="BC199">
        <v>838</v>
      </c>
      <c r="BD199" t="s">
        <v>74</v>
      </c>
      <c r="BE199" t="s">
        <v>3303</v>
      </c>
      <c r="BF199" t="str">
        <f>HYPERLINK("http://dx.doi.org/10.1111/j.1365-2427.2005.01369.x","http://dx.doi.org/10.1111/j.1365-2427.2005.01369.x")</f>
        <v>http://dx.doi.org/10.1111/j.1365-2427.2005.01369.x</v>
      </c>
      <c r="BG199" t="s">
        <v>74</v>
      </c>
      <c r="BH199" t="s">
        <v>74</v>
      </c>
      <c r="BI199">
        <v>9</v>
      </c>
      <c r="BJ199" t="s">
        <v>941</v>
      </c>
      <c r="BK199" t="s">
        <v>95</v>
      </c>
      <c r="BL199" t="s">
        <v>942</v>
      </c>
      <c r="BM199" t="s">
        <v>3304</v>
      </c>
      <c r="BN199" t="s">
        <v>74</v>
      </c>
      <c r="BO199" t="s">
        <v>74</v>
      </c>
      <c r="BP199" t="s">
        <v>74</v>
      </c>
      <c r="BQ199" t="s">
        <v>74</v>
      </c>
      <c r="BR199" t="s">
        <v>97</v>
      </c>
      <c r="BS199" t="s">
        <v>3305</v>
      </c>
      <c r="BT199" t="str">
        <f>HYPERLINK("https%3A%2F%2Fwww.webofscience.com%2Fwos%2Fwoscc%2Ffull-record%2FWOS:000228690300008","View Full Record in Web of Science")</f>
        <v>View Full Record in Web of Science</v>
      </c>
    </row>
    <row r="200" spans="1:72" x14ac:dyDescent="0.15">
      <c r="A200" t="s">
        <v>72</v>
      </c>
      <c r="B200" t="s">
        <v>3306</v>
      </c>
      <c r="C200" t="s">
        <v>74</v>
      </c>
      <c r="D200" t="s">
        <v>74</v>
      </c>
      <c r="E200" t="s">
        <v>74</v>
      </c>
      <c r="F200" t="s">
        <v>3306</v>
      </c>
      <c r="G200" t="s">
        <v>74</v>
      </c>
      <c r="H200" t="s">
        <v>74</v>
      </c>
      <c r="I200" t="s">
        <v>3307</v>
      </c>
      <c r="J200" t="s">
        <v>2569</v>
      </c>
      <c r="K200" t="s">
        <v>74</v>
      </c>
      <c r="L200" t="s">
        <v>74</v>
      </c>
      <c r="M200" t="s">
        <v>77</v>
      </c>
      <c r="N200" t="s">
        <v>52</v>
      </c>
      <c r="O200" t="s">
        <v>3308</v>
      </c>
      <c r="P200" t="s">
        <v>3309</v>
      </c>
      <c r="Q200" t="s">
        <v>3310</v>
      </c>
      <c r="R200" t="s">
        <v>74</v>
      </c>
      <c r="S200" t="s">
        <v>74</v>
      </c>
      <c r="T200" t="s">
        <v>74</v>
      </c>
      <c r="U200" t="s">
        <v>74</v>
      </c>
      <c r="V200" t="s">
        <v>74</v>
      </c>
      <c r="W200" t="s">
        <v>3311</v>
      </c>
      <c r="X200" t="s">
        <v>3312</v>
      </c>
      <c r="Y200" t="s">
        <v>74</v>
      </c>
      <c r="Z200" t="s">
        <v>3313</v>
      </c>
      <c r="AA200" t="s">
        <v>3314</v>
      </c>
      <c r="AB200" t="s">
        <v>3315</v>
      </c>
      <c r="AC200" t="s">
        <v>74</v>
      </c>
      <c r="AD200" t="s">
        <v>74</v>
      </c>
      <c r="AE200" t="s">
        <v>74</v>
      </c>
      <c r="AF200" t="s">
        <v>74</v>
      </c>
      <c r="AG200">
        <v>0</v>
      </c>
      <c r="AH200">
        <v>0</v>
      </c>
      <c r="AI200">
        <v>0</v>
      </c>
      <c r="AJ200">
        <v>0</v>
      </c>
      <c r="AK200">
        <v>1</v>
      </c>
      <c r="AL200" t="s">
        <v>255</v>
      </c>
      <c r="AM200" t="s">
        <v>256</v>
      </c>
      <c r="AN200" t="s">
        <v>257</v>
      </c>
      <c r="AO200" t="s">
        <v>2578</v>
      </c>
      <c r="AP200" t="s">
        <v>3316</v>
      </c>
      <c r="AQ200" t="s">
        <v>74</v>
      </c>
      <c r="AR200" t="s">
        <v>2579</v>
      </c>
      <c r="AS200" t="s">
        <v>2580</v>
      </c>
      <c r="AT200" t="s">
        <v>2847</v>
      </c>
      <c r="AU200">
        <v>2005</v>
      </c>
      <c r="AV200">
        <v>69</v>
      </c>
      <c r="AW200">
        <v>10</v>
      </c>
      <c r="AX200" t="s">
        <v>74</v>
      </c>
      <c r="AY200" t="s">
        <v>1269</v>
      </c>
      <c r="AZ200" t="s">
        <v>74</v>
      </c>
      <c r="BA200" t="s">
        <v>74</v>
      </c>
      <c r="BB200" t="s">
        <v>3317</v>
      </c>
      <c r="BC200" t="s">
        <v>3317</v>
      </c>
      <c r="BD200" t="s">
        <v>74</v>
      </c>
      <c r="BE200" t="s">
        <v>74</v>
      </c>
      <c r="BF200" t="s">
        <v>74</v>
      </c>
      <c r="BG200" t="s">
        <v>74</v>
      </c>
      <c r="BH200" t="s">
        <v>74</v>
      </c>
      <c r="BI200">
        <v>1</v>
      </c>
      <c r="BJ200" t="s">
        <v>381</v>
      </c>
      <c r="BK200" t="s">
        <v>514</v>
      </c>
      <c r="BL200" t="s">
        <v>381</v>
      </c>
      <c r="BM200" t="s">
        <v>3318</v>
      </c>
      <c r="BN200" t="s">
        <v>74</v>
      </c>
      <c r="BO200" t="s">
        <v>74</v>
      </c>
      <c r="BP200" t="s">
        <v>74</v>
      </c>
      <c r="BQ200" t="s">
        <v>74</v>
      </c>
      <c r="BR200" t="s">
        <v>97</v>
      </c>
      <c r="BS200" t="s">
        <v>3319</v>
      </c>
      <c r="BT200" t="str">
        <f>HYPERLINK("https%3A%2F%2Fwww.webofscience.com%2Fwos%2Fwoscc%2Ffull-record%2FWOS:000229399700323","View Full Record in Web of Science")</f>
        <v>View Full Record in Web of Science</v>
      </c>
    </row>
    <row r="201" spans="1:72" x14ac:dyDescent="0.15">
      <c r="A201" t="s">
        <v>72</v>
      </c>
      <c r="B201" t="s">
        <v>3320</v>
      </c>
      <c r="C201" t="s">
        <v>74</v>
      </c>
      <c r="D201" t="s">
        <v>74</v>
      </c>
      <c r="E201" t="s">
        <v>74</v>
      </c>
      <c r="F201" t="s">
        <v>3320</v>
      </c>
      <c r="G201" t="s">
        <v>74</v>
      </c>
      <c r="H201" t="s">
        <v>74</v>
      </c>
      <c r="I201" t="s">
        <v>3321</v>
      </c>
      <c r="J201" t="s">
        <v>2569</v>
      </c>
      <c r="K201" t="s">
        <v>74</v>
      </c>
      <c r="L201" t="s">
        <v>74</v>
      </c>
      <c r="M201" t="s">
        <v>77</v>
      </c>
      <c r="N201" t="s">
        <v>52</v>
      </c>
      <c r="O201" t="s">
        <v>3308</v>
      </c>
      <c r="P201" t="s">
        <v>3309</v>
      </c>
      <c r="Q201" t="s">
        <v>3310</v>
      </c>
      <c r="R201" t="s">
        <v>74</v>
      </c>
      <c r="S201" t="s">
        <v>74</v>
      </c>
      <c r="T201" t="s">
        <v>74</v>
      </c>
      <c r="U201" t="s">
        <v>74</v>
      </c>
      <c r="V201" t="s">
        <v>74</v>
      </c>
      <c r="W201" t="s">
        <v>3322</v>
      </c>
      <c r="X201" t="s">
        <v>3323</v>
      </c>
      <c r="Y201" t="s">
        <v>74</v>
      </c>
      <c r="Z201" t="s">
        <v>3324</v>
      </c>
      <c r="AA201" t="s">
        <v>74</v>
      </c>
      <c r="AB201" t="s">
        <v>74</v>
      </c>
      <c r="AC201" t="s">
        <v>3325</v>
      </c>
      <c r="AD201" t="s">
        <v>3326</v>
      </c>
      <c r="AE201" t="s">
        <v>74</v>
      </c>
      <c r="AF201" t="s">
        <v>74</v>
      </c>
      <c r="AG201">
        <v>0</v>
      </c>
      <c r="AH201">
        <v>3</v>
      </c>
      <c r="AI201">
        <v>3</v>
      </c>
      <c r="AJ201">
        <v>0</v>
      </c>
      <c r="AK201">
        <v>1</v>
      </c>
      <c r="AL201" t="s">
        <v>255</v>
      </c>
      <c r="AM201" t="s">
        <v>256</v>
      </c>
      <c r="AN201" t="s">
        <v>257</v>
      </c>
      <c r="AO201" t="s">
        <v>2578</v>
      </c>
      <c r="AP201" t="s">
        <v>3316</v>
      </c>
      <c r="AQ201" t="s">
        <v>74</v>
      </c>
      <c r="AR201" t="s">
        <v>2579</v>
      </c>
      <c r="AS201" t="s">
        <v>2580</v>
      </c>
      <c r="AT201" t="s">
        <v>2847</v>
      </c>
      <c r="AU201">
        <v>2005</v>
      </c>
      <c r="AV201">
        <v>69</v>
      </c>
      <c r="AW201">
        <v>10</v>
      </c>
      <c r="AX201" t="s">
        <v>74</v>
      </c>
      <c r="AY201" t="s">
        <v>1269</v>
      </c>
      <c r="AZ201" t="s">
        <v>74</v>
      </c>
      <c r="BA201" t="s">
        <v>74</v>
      </c>
      <c r="BB201" t="s">
        <v>3327</v>
      </c>
      <c r="BC201" t="s">
        <v>3327</v>
      </c>
      <c r="BD201" t="s">
        <v>74</v>
      </c>
      <c r="BE201" t="s">
        <v>74</v>
      </c>
      <c r="BF201" t="s">
        <v>74</v>
      </c>
      <c r="BG201" t="s">
        <v>74</v>
      </c>
      <c r="BH201" t="s">
        <v>74</v>
      </c>
      <c r="BI201">
        <v>1</v>
      </c>
      <c r="BJ201" t="s">
        <v>381</v>
      </c>
      <c r="BK201" t="s">
        <v>514</v>
      </c>
      <c r="BL201" t="s">
        <v>381</v>
      </c>
      <c r="BM201" t="s">
        <v>3318</v>
      </c>
      <c r="BN201" t="s">
        <v>74</v>
      </c>
      <c r="BO201" t="s">
        <v>74</v>
      </c>
      <c r="BP201" t="s">
        <v>74</v>
      </c>
      <c r="BQ201" t="s">
        <v>74</v>
      </c>
      <c r="BR201" t="s">
        <v>97</v>
      </c>
      <c r="BS201" t="s">
        <v>3328</v>
      </c>
      <c r="BT201" t="str">
        <f>HYPERLINK("https%3A%2F%2Fwww.webofscience.com%2Fwos%2Fwoscc%2Ffull-record%2FWOS:000229399702216","View Full Record in Web of Science")</f>
        <v>View Full Record in Web of Science</v>
      </c>
    </row>
    <row r="202" spans="1:72" x14ac:dyDescent="0.15">
      <c r="A202" t="s">
        <v>72</v>
      </c>
      <c r="B202" t="s">
        <v>588</v>
      </c>
      <c r="C202" t="s">
        <v>74</v>
      </c>
      <c r="D202" t="s">
        <v>74</v>
      </c>
      <c r="E202" t="s">
        <v>74</v>
      </c>
      <c r="F202" t="s">
        <v>588</v>
      </c>
      <c r="G202" t="s">
        <v>74</v>
      </c>
      <c r="H202" t="s">
        <v>74</v>
      </c>
      <c r="I202" t="s">
        <v>3329</v>
      </c>
      <c r="J202" t="s">
        <v>2569</v>
      </c>
      <c r="K202" t="s">
        <v>74</v>
      </c>
      <c r="L202" t="s">
        <v>74</v>
      </c>
      <c r="M202" t="s">
        <v>77</v>
      </c>
      <c r="N202" t="s">
        <v>52</v>
      </c>
      <c r="O202" t="s">
        <v>3308</v>
      </c>
      <c r="P202" t="s">
        <v>3309</v>
      </c>
      <c r="Q202" t="s">
        <v>3310</v>
      </c>
      <c r="R202" t="s">
        <v>74</v>
      </c>
      <c r="S202" t="s">
        <v>74</v>
      </c>
      <c r="T202" t="s">
        <v>74</v>
      </c>
      <c r="U202" t="s">
        <v>74</v>
      </c>
      <c r="V202" t="s">
        <v>74</v>
      </c>
      <c r="W202" t="s">
        <v>592</v>
      </c>
      <c r="X202" t="s">
        <v>593</v>
      </c>
      <c r="Y202" t="s">
        <v>74</v>
      </c>
      <c r="Z202" t="s">
        <v>595</v>
      </c>
      <c r="AA202" t="s">
        <v>3330</v>
      </c>
      <c r="AB202" t="s">
        <v>3331</v>
      </c>
      <c r="AC202" t="s">
        <v>74</v>
      </c>
      <c r="AD202" t="s">
        <v>74</v>
      </c>
      <c r="AE202" t="s">
        <v>74</v>
      </c>
      <c r="AF202" t="s">
        <v>74</v>
      </c>
      <c r="AG202">
        <v>0</v>
      </c>
      <c r="AH202">
        <v>0</v>
      </c>
      <c r="AI202">
        <v>0</v>
      </c>
      <c r="AJ202">
        <v>0</v>
      </c>
      <c r="AK202">
        <v>1</v>
      </c>
      <c r="AL202" t="s">
        <v>255</v>
      </c>
      <c r="AM202" t="s">
        <v>256</v>
      </c>
      <c r="AN202" t="s">
        <v>257</v>
      </c>
      <c r="AO202" t="s">
        <v>2578</v>
      </c>
      <c r="AP202" t="s">
        <v>74</v>
      </c>
      <c r="AQ202" t="s">
        <v>74</v>
      </c>
      <c r="AR202" t="s">
        <v>2579</v>
      </c>
      <c r="AS202" t="s">
        <v>2580</v>
      </c>
      <c r="AT202" t="s">
        <v>2847</v>
      </c>
      <c r="AU202">
        <v>2005</v>
      </c>
      <c r="AV202">
        <v>69</v>
      </c>
      <c r="AW202">
        <v>10</v>
      </c>
      <c r="AX202" t="s">
        <v>74</v>
      </c>
      <c r="AY202" t="s">
        <v>1269</v>
      </c>
      <c r="AZ202" t="s">
        <v>74</v>
      </c>
      <c r="BA202" t="s">
        <v>74</v>
      </c>
      <c r="BB202" t="s">
        <v>3332</v>
      </c>
      <c r="BC202" t="s">
        <v>3332</v>
      </c>
      <c r="BD202" t="s">
        <v>74</v>
      </c>
      <c r="BE202" t="s">
        <v>74</v>
      </c>
      <c r="BF202" t="s">
        <v>74</v>
      </c>
      <c r="BG202" t="s">
        <v>74</v>
      </c>
      <c r="BH202" t="s">
        <v>74</v>
      </c>
      <c r="BI202">
        <v>1</v>
      </c>
      <c r="BJ202" t="s">
        <v>381</v>
      </c>
      <c r="BK202" t="s">
        <v>989</v>
      </c>
      <c r="BL202" t="s">
        <v>381</v>
      </c>
      <c r="BM202" t="s">
        <v>3318</v>
      </c>
      <c r="BN202" t="s">
        <v>74</v>
      </c>
      <c r="BO202" t="s">
        <v>74</v>
      </c>
      <c r="BP202" t="s">
        <v>74</v>
      </c>
      <c r="BQ202" t="s">
        <v>74</v>
      </c>
      <c r="BR202" t="s">
        <v>97</v>
      </c>
      <c r="BS202" t="s">
        <v>3333</v>
      </c>
      <c r="BT202" t="str">
        <f>HYPERLINK("https%3A%2F%2Fwww.webofscience.com%2Fwos%2Fwoscc%2Ffull-record%2FWOS:000229399701277","View Full Record in Web of Science")</f>
        <v>View Full Record in Web of Science</v>
      </c>
    </row>
    <row r="203" spans="1:72" x14ac:dyDescent="0.15">
      <c r="A203" t="s">
        <v>72</v>
      </c>
      <c r="B203" t="s">
        <v>3334</v>
      </c>
      <c r="C203" t="s">
        <v>74</v>
      </c>
      <c r="D203" t="s">
        <v>74</v>
      </c>
      <c r="E203" t="s">
        <v>74</v>
      </c>
      <c r="F203" t="s">
        <v>3334</v>
      </c>
      <c r="G203" t="s">
        <v>74</v>
      </c>
      <c r="H203" t="s">
        <v>74</v>
      </c>
      <c r="I203" t="s">
        <v>3335</v>
      </c>
      <c r="J203" t="s">
        <v>3336</v>
      </c>
      <c r="K203" t="s">
        <v>74</v>
      </c>
      <c r="L203" t="s">
        <v>74</v>
      </c>
      <c r="M203" t="s">
        <v>77</v>
      </c>
      <c r="N203" t="s">
        <v>78</v>
      </c>
      <c r="O203" t="s">
        <v>74</v>
      </c>
      <c r="P203" t="s">
        <v>74</v>
      </c>
      <c r="Q203" t="s">
        <v>74</v>
      </c>
      <c r="R203" t="s">
        <v>74</v>
      </c>
      <c r="S203" t="s">
        <v>74</v>
      </c>
      <c r="T203" t="s">
        <v>74</v>
      </c>
      <c r="U203" t="s">
        <v>3337</v>
      </c>
      <c r="V203" t="s">
        <v>3338</v>
      </c>
      <c r="W203" t="s">
        <v>3339</v>
      </c>
      <c r="X203" t="s">
        <v>3340</v>
      </c>
      <c r="Y203" t="s">
        <v>3341</v>
      </c>
      <c r="Z203" t="s">
        <v>3342</v>
      </c>
      <c r="AA203" t="s">
        <v>3343</v>
      </c>
      <c r="AB203" t="s">
        <v>3344</v>
      </c>
      <c r="AC203" t="s">
        <v>74</v>
      </c>
      <c r="AD203" t="s">
        <v>74</v>
      </c>
      <c r="AE203" t="s">
        <v>74</v>
      </c>
      <c r="AF203" t="s">
        <v>74</v>
      </c>
      <c r="AG203">
        <v>25</v>
      </c>
      <c r="AH203">
        <v>2</v>
      </c>
      <c r="AI203">
        <v>2</v>
      </c>
      <c r="AJ203">
        <v>0</v>
      </c>
      <c r="AK203">
        <v>2</v>
      </c>
      <c r="AL203" t="s">
        <v>3227</v>
      </c>
      <c r="AM203" t="s">
        <v>134</v>
      </c>
      <c r="AN203" t="s">
        <v>3228</v>
      </c>
      <c r="AO203" t="s">
        <v>3345</v>
      </c>
      <c r="AP203" t="s">
        <v>3346</v>
      </c>
      <c r="AQ203" t="s">
        <v>74</v>
      </c>
      <c r="AR203" t="s">
        <v>3347</v>
      </c>
      <c r="AS203" t="s">
        <v>3348</v>
      </c>
      <c r="AT203" t="s">
        <v>2826</v>
      </c>
      <c r="AU203">
        <v>2005</v>
      </c>
      <c r="AV203">
        <v>45</v>
      </c>
      <c r="AW203">
        <v>3</v>
      </c>
      <c r="AX203" t="s">
        <v>74</v>
      </c>
      <c r="AY203" t="s">
        <v>74</v>
      </c>
      <c r="AZ203" t="s">
        <v>74</v>
      </c>
      <c r="BA203" t="s">
        <v>74</v>
      </c>
      <c r="BB203">
        <v>367</v>
      </c>
      <c r="BC203">
        <v>374</v>
      </c>
      <c r="BD203" t="s">
        <v>74</v>
      </c>
      <c r="BE203" t="s">
        <v>74</v>
      </c>
      <c r="BF203" t="s">
        <v>74</v>
      </c>
      <c r="BG203" t="s">
        <v>74</v>
      </c>
      <c r="BH203" t="s">
        <v>74</v>
      </c>
      <c r="BI203">
        <v>8</v>
      </c>
      <c r="BJ203" t="s">
        <v>381</v>
      </c>
      <c r="BK203" t="s">
        <v>95</v>
      </c>
      <c r="BL203" t="s">
        <v>381</v>
      </c>
      <c r="BM203" t="s">
        <v>3349</v>
      </c>
      <c r="BN203" t="s">
        <v>74</v>
      </c>
      <c r="BO203" t="s">
        <v>74</v>
      </c>
      <c r="BP203" t="s">
        <v>74</v>
      </c>
      <c r="BQ203" t="s">
        <v>74</v>
      </c>
      <c r="BR203" t="s">
        <v>97</v>
      </c>
      <c r="BS203" t="s">
        <v>3350</v>
      </c>
      <c r="BT203" t="str">
        <f>HYPERLINK("https%3A%2F%2Fwww.webofscience.com%2Fwos%2Fwoscc%2Ffull-record%2FWOS:000229983900010","View Full Record in Web of Science")</f>
        <v>View Full Record in Web of Science</v>
      </c>
    </row>
    <row r="204" spans="1:72" x14ac:dyDescent="0.15">
      <c r="A204" t="s">
        <v>72</v>
      </c>
      <c r="B204" t="s">
        <v>3351</v>
      </c>
      <c r="C204" t="s">
        <v>74</v>
      </c>
      <c r="D204" t="s">
        <v>74</v>
      </c>
      <c r="E204" t="s">
        <v>74</v>
      </c>
      <c r="F204" t="s">
        <v>3351</v>
      </c>
      <c r="G204" t="s">
        <v>74</v>
      </c>
      <c r="H204" t="s">
        <v>74</v>
      </c>
      <c r="I204" t="s">
        <v>3352</v>
      </c>
      <c r="J204" t="s">
        <v>3353</v>
      </c>
      <c r="K204" t="s">
        <v>74</v>
      </c>
      <c r="L204" t="s">
        <v>74</v>
      </c>
      <c r="M204" t="s">
        <v>77</v>
      </c>
      <c r="N204" t="s">
        <v>78</v>
      </c>
      <c r="O204" t="s">
        <v>74</v>
      </c>
      <c r="P204" t="s">
        <v>74</v>
      </c>
      <c r="Q204" t="s">
        <v>74</v>
      </c>
      <c r="R204" t="s">
        <v>74</v>
      </c>
      <c r="S204" t="s">
        <v>74</v>
      </c>
      <c r="T204" t="s">
        <v>3354</v>
      </c>
      <c r="U204" t="s">
        <v>3355</v>
      </c>
      <c r="V204" t="s">
        <v>3356</v>
      </c>
      <c r="W204" t="s">
        <v>3357</v>
      </c>
      <c r="X204" t="s">
        <v>128</v>
      </c>
      <c r="Y204" t="s">
        <v>3358</v>
      </c>
      <c r="Z204" t="s">
        <v>74</v>
      </c>
      <c r="AA204" t="s">
        <v>3359</v>
      </c>
      <c r="AB204" t="s">
        <v>3360</v>
      </c>
      <c r="AC204" t="s">
        <v>74</v>
      </c>
      <c r="AD204" t="s">
        <v>74</v>
      </c>
      <c r="AE204" t="s">
        <v>74</v>
      </c>
      <c r="AF204" t="s">
        <v>74</v>
      </c>
      <c r="AG204">
        <v>33</v>
      </c>
      <c r="AH204">
        <v>11</v>
      </c>
      <c r="AI204">
        <v>13</v>
      </c>
      <c r="AJ204">
        <v>0</v>
      </c>
      <c r="AK204">
        <v>5</v>
      </c>
      <c r="AL204" t="s">
        <v>1580</v>
      </c>
      <c r="AM204" t="s">
        <v>256</v>
      </c>
      <c r="AN204" t="s">
        <v>1581</v>
      </c>
      <c r="AO204" t="s">
        <v>3361</v>
      </c>
      <c r="AP204" t="s">
        <v>3362</v>
      </c>
      <c r="AQ204" t="s">
        <v>74</v>
      </c>
      <c r="AR204" t="s">
        <v>3363</v>
      </c>
      <c r="AS204" t="s">
        <v>3364</v>
      </c>
      <c r="AT204" t="s">
        <v>2847</v>
      </c>
      <c r="AU204">
        <v>2005</v>
      </c>
      <c r="AV204">
        <v>161</v>
      </c>
      <c r="AW204">
        <v>2</v>
      </c>
      <c r="AX204" t="s">
        <v>74</v>
      </c>
      <c r="AY204" t="s">
        <v>74</v>
      </c>
      <c r="AZ204" t="s">
        <v>74</v>
      </c>
      <c r="BA204" t="s">
        <v>74</v>
      </c>
      <c r="BB204">
        <v>325</v>
      </c>
      <c r="BC204">
        <v>333</v>
      </c>
      <c r="BD204" t="s">
        <v>74</v>
      </c>
      <c r="BE204" t="s">
        <v>3365</v>
      </c>
      <c r="BF204" t="str">
        <f>HYPERLINK("http://dx.doi.org/10.1111/j.1365-246X.2005.02578.x","http://dx.doi.org/10.1111/j.1365-246X.2005.02578.x")</f>
        <v>http://dx.doi.org/10.1111/j.1365-246X.2005.02578.x</v>
      </c>
      <c r="BG204" t="s">
        <v>74</v>
      </c>
      <c r="BH204" t="s">
        <v>74</v>
      </c>
      <c r="BI204">
        <v>9</v>
      </c>
      <c r="BJ204" t="s">
        <v>381</v>
      </c>
      <c r="BK204" t="s">
        <v>95</v>
      </c>
      <c r="BL204" t="s">
        <v>381</v>
      </c>
      <c r="BM204" t="s">
        <v>3366</v>
      </c>
      <c r="BN204" t="s">
        <v>74</v>
      </c>
      <c r="BO204" t="s">
        <v>855</v>
      </c>
      <c r="BP204" t="s">
        <v>74</v>
      </c>
      <c r="BQ204" t="s">
        <v>74</v>
      </c>
      <c r="BR204" t="s">
        <v>97</v>
      </c>
      <c r="BS204" t="s">
        <v>3367</v>
      </c>
      <c r="BT204" t="str">
        <f>HYPERLINK("https%3A%2F%2Fwww.webofscience.com%2Fwos%2Fwoscc%2Ffull-record%2FWOS:000228744900009","View Full Record in Web of Science")</f>
        <v>View Full Record in Web of Science</v>
      </c>
    </row>
    <row r="205" spans="1:72" x14ac:dyDescent="0.15">
      <c r="A205" t="s">
        <v>72</v>
      </c>
      <c r="B205" t="s">
        <v>3368</v>
      </c>
      <c r="C205" t="s">
        <v>74</v>
      </c>
      <c r="D205" t="s">
        <v>74</v>
      </c>
      <c r="E205" t="s">
        <v>74</v>
      </c>
      <c r="F205" t="s">
        <v>3368</v>
      </c>
      <c r="G205" t="s">
        <v>74</v>
      </c>
      <c r="H205" t="s">
        <v>74</v>
      </c>
      <c r="I205" t="s">
        <v>3369</v>
      </c>
      <c r="J205" t="s">
        <v>3370</v>
      </c>
      <c r="K205" t="s">
        <v>74</v>
      </c>
      <c r="L205" t="s">
        <v>74</v>
      </c>
      <c r="M205" t="s">
        <v>77</v>
      </c>
      <c r="N205" t="s">
        <v>78</v>
      </c>
      <c r="O205" t="s">
        <v>74</v>
      </c>
      <c r="P205" t="s">
        <v>74</v>
      </c>
      <c r="Q205" t="s">
        <v>74</v>
      </c>
      <c r="R205" t="s">
        <v>74</v>
      </c>
      <c r="S205" t="s">
        <v>74</v>
      </c>
      <c r="T205" t="s">
        <v>74</v>
      </c>
      <c r="U205" t="s">
        <v>3371</v>
      </c>
      <c r="V205" t="s">
        <v>3372</v>
      </c>
      <c r="W205" t="s">
        <v>3373</v>
      </c>
      <c r="X205" t="s">
        <v>3224</v>
      </c>
      <c r="Y205" t="s">
        <v>3374</v>
      </c>
      <c r="Z205" t="s">
        <v>74</v>
      </c>
      <c r="AA205" t="s">
        <v>74</v>
      </c>
      <c r="AB205" t="s">
        <v>74</v>
      </c>
      <c r="AC205" t="s">
        <v>74</v>
      </c>
      <c r="AD205" t="s">
        <v>74</v>
      </c>
      <c r="AE205" t="s">
        <v>74</v>
      </c>
      <c r="AF205" t="s">
        <v>74</v>
      </c>
      <c r="AG205">
        <v>52</v>
      </c>
      <c r="AH205">
        <v>3</v>
      </c>
      <c r="AI205">
        <v>3</v>
      </c>
      <c r="AJ205">
        <v>0</v>
      </c>
      <c r="AK205">
        <v>1</v>
      </c>
      <c r="AL205" t="s">
        <v>3375</v>
      </c>
      <c r="AM205" t="s">
        <v>3376</v>
      </c>
      <c r="AN205" t="s">
        <v>3377</v>
      </c>
      <c r="AO205" t="s">
        <v>3378</v>
      </c>
      <c r="AP205" t="s">
        <v>74</v>
      </c>
      <c r="AQ205" t="s">
        <v>74</v>
      </c>
      <c r="AR205" t="s">
        <v>3379</v>
      </c>
      <c r="AS205" t="s">
        <v>3380</v>
      </c>
      <c r="AT205" t="s">
        <v>2826</v>
      </c>
      <c r="AU205">
        <v>2005</v>
      </c>
      <c r="AV205">
        <v>39</v>
      </c>
      <c r="AW205">
        <v>3</v>
      </c>
      <c r="AX205" t="s">
        <v>74</v>
      </c>
      <c r="AY205" t="s">
        <v>74</v>
      </c>
      <c r="AZ205" t="s">
        <v>74</v>
      </c>
      <c r="BA205" t="s">
        <v>74</v>
      </c>
      <c r="BB205">
        <v>213</v>
      </c>
      <c r="BC205">
        <v>223</v>
      </c>
      <c r="BD205" t="s">
        <v>74</v>
      </c>
      <c r="BE205" t="s">
        <v>74</v>
      </c>
      <c r="BF205" t="s">
        <v>74</v>
      </c>
      <c r="BG205" t="s">
        <v>74</v>
      </c>
      <c r="BH205" t="s">
        <v>74</v>
      </c>
      <c r="BI205">
        <v>11</v>
      </c>
      <c r="BJ205" t="s">
        <v>381</v>
      </c>
      <c r="BK205" t="s">
        <v>95</v>
      </c>
      <c r="BL205" t="s">
        <v>381</v>
      </c>
      <c r="BM205" t="s">
        <v>3381</v>
      </c>
      <c r="BN205" t="s">
        <v>74</v>
      </c>
      <c r="BO205" t="s">
        <v>74</v>
      </c>
      <c r="BP205" t="s">
        <v>74</v>
      </c>
      <c r="BQ205" t="s">
        <v>74</v>
      </c>
      <c r="BR205" t="s">
        <v>97</v>
      </c>
      <c r="BS205" t="s">
        <v>3382</v>
      </c>
      <c r="BT205" t="str">
        <f>HYPERLINK("https%3A%2F%2Fwww.webofscience.com%2Fwos%2Fwoscc%2Ffull-record%2FWOS:000230015600004","View Full Record in Web of Science")</f>
        <v>View Full Record in Web of Science</v>
      </c>
    </row>
    <row r="206" spans="1:72" x14ac:dyDescent="0.15">
      <c r="A206" t="s">
        <v>72</v>
      </c>
      <c r="B206" t="s">
        <v>3383</v>
      </c>
      <c r="C206" t="s">
        <v>74</v>
      </c>
      <c r="D206" t="s">
        <v>74</v>
      </c>
      <c r="E206" t="s">
        <v>74</v>
      </c>
      <c r="F206" t="s">
        <v>3383</v>
      </c>
      <c r="G206" t="s">
        <v>74</v>
      </c>
      <c r="H206" t="s">
        <v>74</v>
      </c>
      <c r="I206" t="s">
        <v>3384</v>
      </c>
      <c r="J206" t="s">
        <v>3385</v>
      </c>
      <c r="K206" t="s">
        <v>74</v>
      </c>
      <c r="L206" t="s">
        <v>74</v>
      </c>
      <c r="M206" t="s">
        <v>77</v>
      </c>
      <c r="N206" t="s">
        <v>78</v>
      </c>
      <c r="O206" t="s">
        <v>74</v>
      </c>
      <c r="P206" t="s">
        <v>74</v>
      </c>
      <c r="Q206" t="s">
        <v>74</v>
      </c>
      <c r="R206" t="s">
        <v>74</v>
      </c>
      <c r="S206" t="s">
        <v>74</v>
      </c>
      <c r="T206" t="s">
        <v>3386</v>
      </c>
      <c r="U206" t="s">
        <v>3387</v>
      </c>
      <c r="V206" t="s">
        <v>3388</v>
      </c>
      <c r="W206" t="s">
        <v>3389</v>
      </c>
      <c r="X206" t="s">
        <v>3390</v>
      </c>
      <c r="Y206" t="s">
        <v>3391</v>
      </c>
      <c r="Z206" t="s">
        <v>3392</v>
      </c>
      <c r="AA206" t="s">
        <v>3393</v>
      </c>
      <c r="AB206" t="s">
        <v>3394</v>
      </c>
      <c r="AC206" t="s">
        <v>74</v>
      </c>
      <c r="AD206" t="s">
        <v>74</v>
      </c>
      <c r="AE206" t="s">
        <v>74</v>
      </c>
      <c r="AF206" t="s">
        <v>74</v>
      </c>
      <c r="AG206">
        <v>60</v>
      </c>
      <c r="AH206">
        <v>122</v>
      </c>
      <c r="AI206">
        <v>149</v>
      </c>
      <c r="AJ206">
        <v>1</v>
      </c>
      <c r="AK206">
        <v>57</v>
      </c>
      <c r="AL206" t="s">
        <v>456</v>
      </c>
      <c r="AM206" t="s">
        <v>436</v>
      </c>
      <c r="AN206" t="s">
        <v>457</v>
      </c>
      <c r="AO206" t="s">
        <v>3395</v>
      </c>
      <c r="AP206" t="s">
        <v>74</v>
      </c>
      <c r="AQ206" t="s">
        <v>74</v>
      </c>
      <c r="AR206" t="s">
        <v>3396</v>
      </c>
      <c r="AS206" t="s">
        <v>3397</v>
      </c>
      <c r="AT206" t="s">
        <v>2847</v>
      </c>
      <c r="AU206">
        <v>2005</v>
      </c>
      <c r="AV206">
        <v>47</v>
      </c>
      <c r="AW206">
        <v>1</v>
      </c>
      <c r="AX206" t="s">
        <v>74</v>
      </c>
      <c r="AY206" t="s">
        <v>74</v>
      </c>
      <c r="AZ206" t="s">
        <v>74</v>
      </c>
      <c r="BA206" t="s">
        <v>74</v>
      </c>
      <c r="BB206">
        <v>51</v>
      </c>
      <c r="BC206">
        <v>66</v>
      </c>
      <c r="BD206" t="s">
        <v>74</v>
      </c>
      <c r="BE206" t="s">
        <v>3398</v>
      </c>
      <c r="BF206" t="str">
        <f>HYPERLINK("http://dx.doi.org/10.1016/j.gloplacha.2005.01.001","http://dx.doi.org/10.1016/j.gloplacha.2005.01.001")</f>
        <v>http://dx.doi.org/10.1016/j.gloplacha.2005.01.001</v>
      </c>
      <c r="BG206" t="s">
        <v>74</v>
      </c>
      <c r="BH206" t="s">
        <v>74</v>
      </c>
      <c r="BI206">
        <v>16</v>
      </c>
      <c r="BJ206" t="s">
        <v>242</v>
      </c>
      <c r="BK206" t="s">
        <v>95</v>
      </c>
      <c r="BL206" t="s">
        <v>243</v>
      </c>
      <c r="BM206" t="s">
        <v>3399</v>
      </c>
      <c r="BN206" t="s">
        <v>74</v>
      </c>
      <c r="BO206" t="s">
        <v>74</v>
      </c>
      <c r="BP206" t="s">
        <v>74</v>
      </c>
      <c r="BQ206" t="s">
        <v>74</v>
      </c>
      <c r="BR206" t="s">
        <v>97</v>
      </c>
      <c r="BS206" t="s">
        <v>3400</v>
      </c>
      <c r="BT206" t="str">
        <f>HYPERLINK("https%3A%2F%2Fwww.webofscience.com%2Fwos%2Fwoscc%2Ffull-record%2FWOS:000230469000004","View Full Record in Web of Science")</f>
        <v>View Full Record in Web of Science</v>
      </c>
    </row>
    <row r="207" spans="1:72" x14ac:dyDescent="0.15">
      <c r="A207" t="s">
        <v>72</v>
      </c>
      <c r="B207" t="s">
        <v>3401</v>
      </c>
      <c r="C207" t="s">
        <v>74</v>
      </c>
      <c r="D207" t="s">
        <v>74</v>
      </c>
      <c r="E207" t="s">
        <v>74</v>
      </c>
      <c r="F207" t="s">
        <v>3401</v>
      </c>
      <c r="G207" t="s">
        <v>74</v>
      </c>
      <c r="H207" t="s">
        <v>74</v>
      </c>
      <c r="I207" t="s">
        <v>3402</v>
      </c>
      <c r="J207" t="s">
        <v>1660</v>
      </c>
      <c r="K207" t="s">
        <v>74</v>
      </c>
      <c r="L207" t="s">
        <v>74</v>
      </c>
      <c r="M207" t="s">
        <v>77</v>
      </c>
      <c r="N207" t="s">
        <v>495</v>
      </c>
      <c r="O207" t="s">
        <v>3403</v>
      </c>
      <c r="P207" t="s">
        <v>3404</v>
      </c>
      <c r="Q207" t="s">
        <v>3405</v>
      </c>
      <c r="R207" t="s">
        <v>74</v>
      </c>
      <c r="S207" t="s">
        <v>3406</v>
      </c>
      <c r="T207" t="s">
        <v>3407</v>
      </c>
      <c r="U207" t="s">
        <v>3408</v>
      </c>
      <c r="V207" t="s">
        <v>3409</v>
      </c>
      <c r="W207" t="s">
        <v>670</v>
      </c>
      <c r="X207" t="s">
        <v>671</v>
      </c>
      <c r="Y207" t="s">
        <v>3410</v>
      </c>
      <c r="Z207" t="s">
        <v>3411</v>
      </c>
      <c r="AA207" t="s">
        <v>3412</v>
      </c>
      <c r="AB207" t="s">
        <v>74</v>
      </c>
      <c r="AC207" t="s">
        <v>74</v>
      </c>
      <c r="AD207" t="s">
        <v>74</v>
      </c>
      <c r="AE207" t="s">
        <v>74</v>
      </c>
      <c r="AF207" t="s">
        <v>74</v>
      </c>
      <c r="AG207">
        <v>35</v>
      </c>
      <c r="AH207">
        <v>108</v>
      </c>
      <c r="AI207">
        <v>123</v>
      </c>
      <c r="AJ207">
        <v>0</v>
      </c>
      <c r="AK207">
        <v>41</v>
      </c>
      <c r="AL207" t="s">
        <v>3413</v>
      </c>
      <c r="AM207" t="s">
        <v>739</v>
      </c>
      <c r="AN207" t="s">
        <v>3414</v>
      </c>
      <c r="AO207" t="s">
        <v>1670</v>
      </c>
      <c r="AP207" t="s">
        <v>74</v>
      </c>
      <c r="AQ207" t="s">
        <v>74</v>
      </c>
      <c r="AR207" t="s">
        <v>1672</v>
      </c>
      <c r="AS207" t="s">
        <v>1673</v>
      </c>
      <c r="AT207" t="s">
        <v>2847</v>
      </c>
      <c r="AU207">
        <v>2005</v>
      </c>
      <c r="AV207">
        <v>62</v>
      </c>
      <c r="AW207">
        <v>3</v>
      </c>
      <c r="AX207" t="s">
        <v>74</v>
      </c>
      <c r="AY207" t="s">
        <v>74</v>
      </c>
      <c r="AZ207" t="s">
        <v>74</v>
      </c>
      <c r="BA207" t="s">
        <v>74</v>
      </c>
      <c r="BB207">
        <v>366</v>
      </c>
      <c r="BC207">
        <v>373</v>
      </c>
      <c r="BD207" t="s">
        <v>74</v>
      </c>
      <c r="BE207" t="s">
        <v>3415</v>
      </c>
      <c r="BF207" t="str">
        <f>HYPERLINK("http://dx.doi.org/10.1016/j.icesjms.2004.11.003","http://dx.doi.org/10.1016/j.icesjms.2004.11.003")</f>
        <v>http://dx.doi.org/10.1016/j.icesjms.2004.11.003</v>
      </c>
      <c r="BG207" t="s">
        <v>74</v>
      </c>
      <c r="BH207" t="s">
        <v>74</v>
      </c>
      <c r="BI207">
        <v>8</v>
      </c>
      <c r="BJ207" t="s">
        <v>1675</v>
      </c>
      <c r="BK207" t="s">
        <v>989</v>
      </c>
      <c r="BL207" t="s">
        <v>1675</v>
      </c>
      <c r="BM207" t="s">
        <v>3416</v>
      </c>
      <c r="BN207" t="s">
        <v>74</v>
      </c>
      <c r="BO207" t="s">
        <v>539</v>
      </c>
      <c r="BP207" t="s">
        <v>74</v>
      </c>
      <c r="BQ207" t="s">
        <v>74</v>
      </c>
      <c r="BR207" t="s">
        <v>97</v>
      </c>
      <c r="BS207" t="s">
        <v>3417</v>
      </c>
      <c r="BT207" t="str">
        <f>HYPERLINK("https%3A%2F%2Fwww.webofscience.com%2Fwos%2Fwoscc%2Ffull-record%2FWOS:000228705900010","View Full Record in Web of Science")</f>
        <v>View Full Record in Web of Science</v>
      </c>
    </row>
    <row r="208" spans="1:72" x14ac:dyDescent="0.15">
      <c r="A208" t="s">
        <v>72</v>
      </c>
      <c r="B208" t="s">
        <v>3418</v>
      </c>
      <c r="C208" t="s">
        <v>74</v>
      </c>
      <c r="D208" t="s">
        <v>74</v>
      </c>
      <c r="E208" t="s">
        <v>74</v>
      </c>
      <c r="F208" t="s">
        <v>3418</v>
      </c>
      <c r="G208" t="s">
        <v>74</v>
      </c>
      <c r="H208" t="s">
        <v>74</v>
      </c>
      <c r="I208" t="s">
        <v>3419</v>
      </c>
      <c r="J208" t="s">
        <v>3420</v>
      </c>
      <c r="K208" t="s">
        <v>74</v>
      </c>
      <c r="L208" t="s">
        <v>74</v>
      </c>
      <c r="M208" t="s">
        <v>77</v>
      </c>
      <c r="N208" t="s">
        <v>495</v>
      </c>
      <c r="O208" t="s">
        <v>3421</v>
      </c>
      <c r="P208" t="s">
        <v>3422</v>
      </c>
      <c r="Q208" t="s">
        <v>3423</v>
      </c>
      <c r="R208" t="s">
        <v>74</v>
      </c>
      <c r="S208" t="s">
        <v>3424</v>
      </c>
      <c r="T208" t="s">
        <v>3425</v>
      </c>
      <c r="U208" t="s">
        <v>3426</v>
      </c>
      <c r="V208" t="s">
        <v>3427</v>
      </c>
      <c r="W208" t="s">
        <v>3428</v>
      </c>
      <c r="X208" t="s">
        <v>3429</v>
      </c>
      <c r="Y208" t="s">
        <v>3430</v>
      </c>
      <c r="Z208" t="s">
        <v>3431</v>
      </c>
      <c r="AA208" t="s">
        <v>3432</v>
      </c>
      <c r="AB208" t="s">
        <v>3433</v>
      </c>
      <c r="AC208" t="s">
        <v>74</v>
      </c>
      <c r="AD208" t="s">
        <v>74</v>
      </c>
      <c r="AE208" t="s">
        <v>74</v>
      </c>
      <c r="AF208" t="s">
        <v>74</v>
      </c>
      <c r="AG208">
        <v>42</v>
      </c>
      <c r="AH208">
        <v>14</v>
      </c>
      <c r="AI208">
        <v>15</v>
      </c>
      <c r="AJ208">
        <v>0</v>
      </c>
      <c r="AK208">
        <v>7</v>
      </c>
      <c r="AL208" t="s">
        <v>3434</v>
      </c>
      <c r="AM208" t="s">
        <v>3435</v>
      </c>
      <c r="AN208" t="s">
        <v>3436</v>
      </c>
      <c r="AO208" t="s">
        <v>3437</v>
      </c>
      <c r="AP208" t="s">
        <v>3438</v>
      </c>
      <c r="AQ208" t="s">
        <v>74</v>
      </c>
      <c r="AR208" t="s">
        <v>3439</v>
      </c>
      <c r="AS208" t="s">
        <v>3440</v>
      </c>
      <c r="AT208" t="s">
        <v>2847</v>
      </c>
      <c r="AU208">
        <v>2005</v>
      </c>
      <c r="AV208">
        <v>43</v>
      </c>
      <c r="AW208">
        <v>5</v>
      </c>
      <c r="AX208" t="s">
        <v>74</v>
      </c>
      <c r="AY208" t="s">
        <v>74</v>
      </c>
      <c r="AZ208" t="s">
        <v>74</v>
      </c>
      <c r="BA208" t="s">
        <v>74</v>
      </c>
      <c r="BB208">
        <v>1144</v>
      </c>
      <c r="BC208">
        <v>1158</v>
      </c>
      <c r="BD208" t="s">
        <v>74</v>
      </c>
      <c r="BE208" t="s">
        <v>3441</v>
      </c>
      <c r="BF208" t="str">
        <f>HYPERLINK("http://dx.doi.org/10.1109/TGRS.2005.846129","http://dx.doi.org/10.1109/TGRS.2005.846129")</f>
        <v>http://dx.doi.org/10.1109/TGRS.2005.846129</v>
      </c>
      <c r="BG208" t="s">
        <v>74</v>
      </c>
      <c r="BH208" t="s">
        <v>74</v>
      </c>
      <c r="BI208">
        <v>15</v>
      </c>
      <c r="BJ208" t="s">
        <v>3442</v>
      </c>
      <c r="BK208" t="s">
        <v>514</v>
      </c>
      <c r="BL208" t="s">
        <v>3443</v>
      </c>
      <c r="BM208" t="s">
        <v>3444</v>
      </c>
      <c r="BN208" t="s">
        <v>74</v>
      </c>
      <c r="BO208" t="s">
        <v>74</v>
      </c>
      <c r="BP208" t="s">
        <v>74</v>
      </c>
      <c r="BQ208" t="s">
        <v>74</v>
      </c>
      <c r="BR208" t="s">
        <v>97</v>
      </c>
      <c r="BS208" t="s">
        <v>3445</v>
      </c>
      <c r="BT208" t="str">
        <f>HYPERLINK("https%3A%2F%2Fwww.webofscience.com%2Fwos%2Fwoscc%2Ffull-record%2FWOS:000228672800025","View Full Record in Web of Science")</f>
        <v>View Full Record in Web of Science</v>
      </c>
    </row>
    <row r="209" spans="1:72" x14ac:dyDescent="0.15">
      <c r="A209" t="s">
        <v>72</v>
      </c>
      <c r="B209" t="s">
        <v>3446</v>
      </c>
      <c r="C209" t="s">
        <v>74</v>
      </c>
      <c r="D209" t="s">
        <v>74</v>
      </c>
      <c r="E209" t="s">
        <v>74</v>
      </c>
      <c r="F209" t="s">
        <v>3446</v>
      </c>
      <c r="G209" t="s">
        <v>74</v>
      </c>
      <c r="H209" t="s">
        <v>74</v>
      </c>
      <c r="I209" t="s">
        <v>3447</v>
      </c>
      <c r="J209" t="s">
        <v>3448</v>
      </c>
      <c r="K209" t="s">
        <v>74</v>
      </c>
      <c r="L209" t="s">
        <v>74</v>
      </c>
      <c r="M209" t="s">
        <v>77</v>
      </c>
      <c r="N209" t="s">
        <v>78</v>
      </c>
      <c r="O209" t="s">
        <v>74</v>
      </c>
      <c r="P209" t="s">
        <v>74</v>
      </c>
      <c r="Q209" t="s">
        <v>74</v>
      </c>
      <c r="R209" t="s">
        <v>74</v>
      </c>
      <c r="S209" t="s">
        <v>74</v>
      </c>
      <c r="T209" t="s">
        <v>74</v>
      </c>
      <c r="U209" t="s">
        <v>3449</v>
      </c>
      <c r="V209" t="s">
        <v>3450</v>
      </c>
      <c r="W209" t="s">
        <v>3451</v>
      </c>
      <c r="X209" t="s">
        <v>3452</v>
      </c>
      <c r="Y209" t="s">
        <v>3453</v>
      </c>
      <c r="Z209" t="s">
        <v>3454</v>
      </c>
      <c r="AA209" t="s">
        <v>3455</v>
      </c>
      <c r="AB209" t="s">
        <v>3456</v>
      </c>
      <c r="AC209" t="s">
        <v>74</v>
      </c>
      <c r="AD209" t="s">
        <v>74</v>
      </c>
      <c r="AE209" t="s">
        <v>74</v>
      </c>
      <c r="AF209" t="s">
        <v>74</v>
      </c>
      <c r="AG209">
        <v>36</v>
      </c>
      <c r="AH209">
        <v>28</v>
      </c>
      <c r="AI209">
        <v>28</v>
      </c>
      <c r="AJ209">
        <v>0</v>
      </c>
      <c r="AK209">
        <v>2</v>
      </c>
      <c r="AL209" t="s">
        <v>3457</v>
      </c>
      <c r="AM209" t="s">
        <v>739</v>
      </c>
      <c r="AN209" t="s">
        <v>3458</v>
      </c>
      <c r="AO209" t="s">
        <v>3459</v>
      </c>
      <c r="AP209" t="s">
        <v>3460</v>
      </c>
      <c r="AQ209" t="s">
        <v>74</v>
      </c>
      <c r="AR209" t="s">
        <v>3461</v>
      </c>
      <c r="AS209" t="s">
        <v>3462</v>
      </c>
      <c r="AT209" t="s">
        <v>2847</v>
      </c>
      <c r="AU209">
        <v>2005</v>
      </c>
      <c r="AV209">
        <v>55</v>
      </c>
      <c r="AW209" t="s">
        <v>74</v>
      </c>
      <c r="AX209">
        <v>3</v>
      </c>
      <c r="AY209" t="s">
        <v>74</v>
      </c>
      <c r="AZ209" t="s">
        <v>74</v>
      </c>
      <c r="BA209" t="s">
        <v>74</v>
      </c>
      <c r="BB209">
        <v>1033</v>
      </c>
      <c r="BC209">
        <v>1038</v>
      </c>
      <c r="BD209" t="s">
        <v>74</v>
      </c>
      <c r="BE209" t="s">
        <v>3463</v>
      </c>
      <c r="BF209" t="str">
        <f>HYPERLINK("http://dx.doi.org/10.1099/ijs.0.63410-0","http://dx.doi.org/10.1099/ijs.0.63410-0")</f>
        <v>http://dx.doi.org/10.1099/ijs.0.63410-0</v>
      </c>
      <c r="BG209" t="s">
        <v>74</v>
      </c>
      <c r="BH209" t="s">
        <v>74</v>
      </c>
      <c r="BI209">
        <v>6</v>
      </c>
      <c r="BJ209" t="s">
        <v>1507</v>
      </c>
      <c r="BK209" t="s">
        <v>95</v>
      </c>
      <c r="BL209" t="s">
        <v>1507</v>
      </c>
      <c r="BM209" t="s">
        <v>3464</v>
      </c>
      <c r="BN209">
        <v>15879230</v>
      </c>
      <c r="BO209" t="s">
        <v>750</v>
      </c>
      <c r="BP209" t="s">
        <v>74</v>
      </c>
      <c r="BQ209" t="s">
        <v>74</v>
      </c>
      <c r="BR209" t="s">
        <v>97</v>
      </c>
      <c r="BS209" t="s">
        <v>3465</v>
      </c>
      <c r="BT209" t="str">
        <f>HYPERLINK("https%3A%2F%2Fwww.webofscience.com%2Fwos%2Fwoscc%2Ffull-record%2FWOS:000229362700008","View Full Record in Web of Science")</f>
        <v>View Full Record in Web of Science</v>
      </c>
    </row>
    <row r="210" spans="1:72" x14ac:dyDescent="0.15">
      <c r="A210" t="s">
        <v>72</v>
      </c>
      <c r="B210" t="s">
        <v>3466</v>
      </c>
      <c r="C210" t="s">
        <v>74</v>
      </c>
      <c r="D210" t="s">
        <v>74</v>
      </c>
      <c r="E210" t="s">
        <v>74</v>
      </c>
      <c r="F210" t="s">
        <v>3466</v>
      </c>
      <c r="G210" t="s">
        <v>74</v>
      </c>
      <c r="H210" t="s">
        <v>74</v>
      </c>
      <c r="I210" t="s">
        <v>3467</v>
      </c>
      <c r="J210" t="s">
        <v>3468</v>
      </c>
      <c r="K210" t="s">
        <v>74</v>
      </c>
      <c r="L210" t="s">
        <v>74</v>
      </c>
      <c r="M210" t="s">
        <v>77</v>
      </c>
      <c r="N210" t="s">
        <v>78</v>
      </c>
      <c r="O210" t="s">
        <v>74</v>
      </c>
      <c r="P210" t="s">
        <v>74</v>
      </c>
      <c r="Q210" t="s">
        <v>74</v>
      </c>
      <c r="R210" t="s">
        <v>74</v>
      </c>
      <c r="S210" t="s">
        <v>74</v>
      </c>
      <c r="T210" t="s">
        <v>74</v>
      </c>
      <c r="U210" t="s">
        <v>3469</v>
      </c>
      <c r="V210" t="s">
        <v>3470</v>
      </c>
      <c r="W210" t="s">
        <v>3471</v>
      </c>
      <c r="X210" t="s">
        <v>3472</v>
      </c>
      <c r="Y210" t="s">
        <v>3473</v>
      </c>
      <c r="Z210" t="s">
        <v>3474</v>
      </c>
      <c r="AA210" t="s">
        <v>74</v>
      </c>
      <c r="AB210" t="s">
        <v>74</v>
      </c>
      <c r="AC210" t="s">
        <v>74</v>
      </c>
      <c r="AD210" t="s">
        <v>74</v>
      </c>
      <c r="AE210" t="s">
        <v>74</v>
      </c>
      <c r="AF210" t="s">
        <v>74</v>
      </c>
      <c r="AG210">
        <v>32</v>
      </c>
      <c r="AH210">
        <v>4</v>
      </c>
      <c r="AI210">
        <v>4</v>
      </c>
      <c r="AJ210">
        <v>0</v>
      </c>
      <c r="AK210">
        <v>0</v>
      </c>
      <c r="AL210" t="s">
        <v>3227</v>
      </c>
      <c r="AM210" t="s">
        <v>134</v>
      </c>
      <c r="AN210" t="s">
        <v>3228</v>
      </c>
      <c r="AO210" t="s">
        <v>3475</v>
      </c>
      <c r="AP210" t="s">
        <v>74</v>
      </c>
      <c r="AQ210" t="s">
        <v>74</v>
      </c>
      <c r="AR210" t="s">
        <v>3476</v>
      </c>
      <c r="AS210" t="s">
        <v>3477</v>
      </c>
      <c r="AT210" t="s">
        <v>2826</v>
      </c>
      <c r="AU210">
        <v>2005</v>
      </c>
      <c r="AV210">
        <v>41</v>
      </c>
      <c r="AW210">
        <v>3</v>
      </c>
      <c r="AX210" t="s">
        <v>74</v>
      </c>
      <c r="AY210" t="s">
        <v>74</v>
      </c>
      <c r="AZ210" t="s">
        <v>74</v>
      </c>
      <c r="BA210" t="s">
        <v>74</v>
      </c>
      <c r="BB210">
        <v>308</v>
      </c>
      <c r="BC210">
        <v>324</v>
      </c>
      <c r="BD210" t="s">
        <v>74</v>
      </c>
      <c r="BE210" t="s">
        <v>74</v>
      </c>
      <c r="BF210" t="s">
        <v>74</v>
      </c>
      <c r="BG210" t="s">
        <v>74</v>
      </c>
      <c r="BH210" t="s">
        <v>74</v>
      </c>
      <c r="BI210">
        <v>17</v>
      </c>
      <c r="BJ210" t="s">
        <v>3478</v>
      </c>
      <c r="BK210" t="s">
        <v>95</v>
      </c>
      <c r="BL210" t="s">
        <v>3478</v>
      </c>
      <c r="BM210" t="s">
        <v>3479</v>
      </c>
      <c r="BN210" t="s">
        <v>74</v>
      </c>
      <c r="BO210" t="s">
        <v>74</v>
      </c>
      <c r="BP210" t="s">
        <v>74</v>
      </c>
      <c r="BQ210" t="s">
        <v>74</v>
      </c>
      <c r="BR210" t="s">
        <v>97</v>
      </c>
      <c r="BS210" t="s">
        <v>3480</v>
      </c>
      <c r="BT210" t="str">
        <f>HYPERLINK("https%3A%2F%2Fwww.webofscience.com%2Fwos%2Fwoscc%2Ffull-record%2FWOS:000230052500004","View Full Record in Web of Science")</f>
        <v>View Full Record in Web of Science</v>
      </c>
    </row>
    <row r="211" spans="1:72" x14ac:dyDescent="0.15">
      <c r="A211" t="s">
        <v>72</v>
      </c>
      <c r="B211" t="s">
        <v>3481</v>
      </c>
      <c r="C211" t="s">
        <v>74</v>
      </c>
      <c r="D211" t="s">
        <v>74</v>
      </c>
      <c r="E211" t="s">
        <v>74</v>
      </c>
      <c r="F211" t="s">
        <v>3481</v>
      </c>
      <c r="G211" t="s">
        <v>74</v>
      </c>
      <c r="H211" t="s">
        <v>74</v>
      </c>
      <c r="I211" t="s">
        <v>3482</v>
      </c>
      <c r="J211" t="s">
        <v>3483</v>
      </c>
      <c r="K211" t="s">
        <v>74</v>
      </c>
      <c r="L211" t="s">
        <v>74</v>
      </c>
      <c r="M211" t="s">
        <v>77</v>
      </c>
      <c r="N211" t="s">
        <v>78</v>
      </c>
      <c r="O211" t="s">
        <v>74</v>
      </c>
      <c r="P211" t="s">
        <v>74</v>
      </c>
      <c r="Q211" t="s">
        <v>74</v>
      </c>
      <c r="R211" t="s">
        <v>74</v>
      </c>
      <c r="S211" t="s">
        <v>74</v>
      </c>
      <c r="T211" t="s">
        <v>3484</v>
      </c>
      <c r="U211" t="s">
        <v>3485</v>
      </c>
      <c r="V211" t="s">
        <v>3486</v>
      </c>
      <c r="W211" t="s">
        <v>3487</v>
      </c>
      <c r="X211" t="s">
        <v>3488</v>
      </c>
      <c r="Y211" t="s">
        <v>3489</v>
      </c>
      <c r="Z211" t="s">
        <v>3490</v>
      </c>
      <c r="AA211" t="s">
        <v>3491</v>
      </c>
      <c r="AB211" t="s">
        <v>3492</v>
      </c>
      <c r="AC211" t="s">
        <v>74</v>
      </c>
      <c r="AD211" t="s">
        <v>74</v>
      </c>
      <c r="AE211" t="s">
        <v>74</v>
      </c>
      <c r="AF211" t="s">
        <v>74</v>
      </c>
      <c r="AG211">
        <v>13</v>
      </c>
      <c r="AH211">
        <v>8</v>
      </c>
      <c r="AI211">
        <v>8</v>
      </c>
      <c r="AJ211">
        <v>0</v>
      </c>
      <c r="AK211">
        <v>6</v>
      </c>
      <c r="AL211" t="s">
        <v>133</v>
      </c>
      <c r="AM211" t="s">
        <v>374</v>
      </c>
      <c r="AN211" t="s">
        <v>375</v>
      </c>
      <c r="AO211" t="s">
        <v>3493</v>
      </c>
      <c r="AP211" t="s">
        <v>74</v>
      </c>
      <c r="AQ211" t="s">
        <v>74</v>
      </c>
      <c r="AR211" t="s">
        <v>3494</v>
      </c>
      <c r="AS211" t="s">
        <v>3495</v>
      </c>
      <c r="AT211" t="s">
        <v>2847</v>
      </c>
      <c r="AU211">
        <v>2005</v>
      </c>
      <c r="AV211">
        <v>51</v>
      </c>
      <c r="AW211">
        <v>1</v>
      </c>
      <c r="AX211" t="s">
        <v>74</v>
      </c>
      <c r="AY211" t="s">
        <v>74</v>
      </c>
      <c r="AZ211" t="s">
        <v>74</v>
      </c>
      <c r="BA211" t="s">
        <v>74</v>
      </c>
      <c r="BB211">
        <v>65</v>
      </c>
      <c r="BC211">
        <v>78</v>
      </c>
      <c r="BD211" t="s">
        <v>74</v>
      </c>
      <c r="BE211" t="s">
        <v>3496</v>
      </c>
      <c r="BF211" t="str">
        <f>HYPERLINK("http://dx.doi.org/10.1007/s10874-005-5983-8","http://dx.doi.org/10.1007/s10874-005-5983-8")</f>
        <v>http://dx.doi.org/10.1007/s10874-005-5983-8</v>
      </c>
      <c r="BG211" t="s">
        <v>74</v>
      </c>
      <c r="BH211" t="s">
        <v>74</v>
      </c>
      <c r="BI211">
        <v>14</v>
      </c>
      <c r="BJ211" t="s">
        <v>2362</v>
      </c>
      <c r="BK211" t="s">
        <v>95</v>
      </c>
      <c r="BL211" t="s">
        <v>2363</v>
      </c>
      <c r="BM211" t="s">
        <v>3497</v>
      </c>
      <c r="BN211" t="s">
        <v>74</v>
      </c>
      <c r="BO211" t="s">
        <v>74</v>
      </c>
      <c r="BP211" t="s">
        <v>74</v>
      </c>
      <c r="BQ211" t="s">
        <v>74</v>
      </c>
      <c r="BR211" t="s">
        <v>97</v>
      </c>
      <c r="BS211" t="s">
        <v>3498</v>
      </c>
      <c r="BT211" t="str">
        <f>HYPERLINK("https%3A%2F%2Fwww.webofscience.com%2Fwos%2Fwoscc%2Ffull-record%2FWOS:000230694400003","View Full Record in Web of Science")</f>
        <v>View Full Record in Web of Science</v>
      </c>
    </row>
    <row r="212" spans="1:72" x14ac:dyDescent="0.15">
      <c r="A212" t="s">
        <v>72</v>
      </c>
      <c r="B212" t="s">
        <v>3499</v>
      </c>
      <c r="C212" t="s">
        <v>74</v>
      </c>
      <c r="D212" t="s">
        <v>74</v>
      </c>
      <c r="E212" t="s">
        <v>74</v>
      </c>
      <c r="F212" t="s">
        <v>3499</v>
      </c>
      <c r="G212" t="s">
        <v>74</v>
      </c>
      <c r="H212" t="s">
        <v>74</v>
      </c>
      <c r="I212" t="s">
        <v>3500</v>
      </c>
      <c r="J212" t="s">
        <v>3501</v>
      </c>
      <c r="K212" t="s">
        <v>74</v>
      </c>
      <c r="L212" t="s">
        <v>74</v>
      </c>
      <c r="M212" t="s">
        <v>77</v>
      </c>
      <c r="N212" t="s">
        <v>365</v>
      </c>
      <c r="O212" t="s">
        <v>74</v>
      </c>
      <c r="P212" t="s">
        <v>74</v>
      </c>
      <c r="Q212" t="s">
        <v>74</v>
      </c>
      <c r="R212" t="s">
        <v>74</v>
      </c>
      <c r="S212" t="s">
        <v>74</v>
      </c>
      <c r="T212" t="s">
        <v>3502</v>
      </c>
      <c r="U212" t="s">
        <v>3503</v>
      </c>
      <c r="V212" t="s">
        <v>3504</v>
      </c>
      <c r="W212" t="s">
        <v>3505</v>
      </c>
      <c r="X212" t="s">
        <v>3506</v>
      </c>
      <c r="Y212" t="s">
        <v>3507</v>
      </c>
      <c r="Z212" t="s">
        <v>3508</v>
      </c>
      <c r="AA212" t="s">
        <v>3509</v>
      </c>
      <c r="AB212" t="s">
        <v>3510</v>
      </c>
      <c r="AC212" t="s">
        <v>74</v>
      </c>
      <c r="AD212" t="s">
        <v>74</v>
      </c>
      <c r="AE212" t="s">
        <v>74</v>
      </c>
      <c r="AF212" t="s">
        <v>74</v>
      </c>
      <c r="AG212">
        <v>123</v>
      </c>
      <c r="AH212">
        <v>137</v>
      </c>
      <c r="AI212">
        <v>156</v>
      </c>
      <c r="AJ212">
        <v>0</v>
      </c>
      <c r="AK212">
        <v>35</v>
      </c>
      <c r="AL212" t="s">
        <v>472</v>
      </c>
      <c r="AM212" t="s">
        <v>473</v>
      </c>
      <c r="AN212" t="s">
        <v>474</v>
      </c>
      <c r="AO212" t="s">
        <v>3511</v>
      </c>
      <c r="AP212" t="s">
        <v>3512</v>
      </c>
      <c r="AQ212" t="s">
        <v>74</v>
      </c>
      <c r="AR212" t="s">
        <v>3513</v>
      </c>
      <c r="AS212" t="s">
        <v>3514</v>
      </c>
      <c r="AT212" t="s">
        <v>2847</v>
      </c>
      <c r="AU212">
        <v>2005</v>
      </c>
      <c r="AV212">
        <v>32</v>
      </c>
      <c r="AW212">
        <v>5</v>
      </c>
      <c r="AX212" t="s">
        <v>74</v>
      </c>
      <c r="AY212" t="s">
        <v>74</v>
      </c>
      <c r="AZ212" t="s">
        <v>74</v>
      </c>
      <c r="BA212" t="s">
        <v>74</v>
      </c>
      <c r="BB212">
        <v>741</v>
      </c>
      <c r="BC212">
        <v>754</v>
      </c>
      <c r="BD212" t="s">
        <v>74</v>
      </c>
      <c r="BE212" t="s">
        <v>3515</v>
      </c>
      <c r="BF212" t="str">
        <f>HYPERLINK("http://dx.doi.org/10.1111/j.1365-2699.2005.01261.x","http://dx.doi.org/10.1111/j.1365-2699.2005.01261.x")</f>
        <v>http://dx.doi.org/10.1111/j.1365-2699.2005.01261.x</v>
      </c>
      <c r="BG212" t="s">
        <v>74</v>
      </c>
      <c r="BH212" t="s">
        <v>74</v>
      </c>
      <c r="BI212">
        <v>14</v>
      </c>
      <c r="BJ212" t="s">
        <v>3516</v>
      </c>
      <c r="BK212" t="s">
        <v>95</v>
      </c>
      <c r="BL212" t="s">
        <v>2963</v>
      </c>
      <c r="BM212" t="s">
        <v>3517</v>
      </c>
      <c r="BN212" t="s">
        <v>74</v>
      </c>
      <c r="BO212" t="s">
        <v>74</v>
      </c>
      <c r="BP212" t="s">
        <v>74</v>
      </c>
      <c r="BQ212" t="s">
        <v>74</v>
      </c>
      <c r="BR212" t="s">
        <v>97</v>
      </c>
      <c r="BS212" t="s">
        <v>3518</v>
      </c>
      <c r="BT212" t="str">
        <f>HYPERLINK("https%3A%2F%2Fwww.webofscience.com%2Fwos%2Fwoscc%2Ffull-record%2FWOS:000228751400002","View Full Record in Web of Science")</f>
        <v>View Full Record in Web of Science</v>
      </c>
    </row>
    <row r="213" spans="1:72" x14ac:dyDescent="0.15">
      <c r="A213" t="s">
        <v>72</v>
      </c>
      <c r="B213" t="s">
        <v>3519</v>
      </c>
      <c r="C213" t="s">
        <v>74</v>
      </c>
      <c r="D213" t="s">
        <v>74</v>
      </c>
      <c r="E213" t="s">
        <v>74</v>
      </c>
      <c r="F213" t="s">
        <v>3519</v>
      </c>
      <c r="G213" t="s">
        <v>74</v>
      </c>
      <c r="H213" t="s">
        <v>74</v>
      </c>
      <c r="I213" t="s">
        <v>3520</v>
      </c>
      <c r="J213" t="s">
        <v>3521</v>
      </c>
      <c r="K213" t="s">
        <v>74</v>
      </c>
      <c r="L213" t="s">
        <v>74</v>
      </c>
      <c r="M213" t="s">
        <v>77</v>
      </c>
      <c r="N213" t="s">
        <v>78</v>
      </c>
      <c r="O213" t="s">
        <v>74</v>
      </c>
      <c r="P213" t="s">
        <v>74</v>
      </c>
      <c r="Q213" t="s">
        <v>74</v>
      </c>
      <c r="R213" t="s">
        <v>74</v>
      </c>
      <c r="S213" t="s">
        <v>74</v>
      </c>
      <c r="T213" t="s">
        <v>74</v>
      </c>
      <c r="U213" t="s">
        <v>3522</v>
      </c>
      <c r="V213" t="s">
        <v>3523</v>
      </c>
      <c r="W213" t="s">
        <v>3524</v>
      </c>
      <c r="X213" t="s">
        <v>3525</v>
      </c>
      <c r="Y213" t="s">
        <v>3526</v>
      </c>
      <c r="Z213" t="s">
        <v>3527</v>
      </c>
      <c r="AA213" t="s">
        <v>74</v>
      </c>
      <c r="AB213" t="s">
        <v>74</v>
      </c>
      <c r="AC213" t="s">
        <v>74</v>
      </c>
      <c r="AD213" t="s">
        <v>74</v>
      </c>
      <c r="AE213" t="s">
        <v>74</v>
      </c>
      <c r="AF213" t="s">
        <v>74</v>
      </c>
      <c r="AG213">
        <v>26</v>
      </c>
      <c r="AH213">
        <v>7</v>
      </c>
      <c r="AI213">
        <v>7</v>
      </c>
      <c r="AJ213">
        <v>0</v>
      </c>
      <c r="AK213">
        <v>11</v>
      </c>
      <c r="AL213" t="s">
        <v>1580</v>
      </c>
      <c r="AM213" t="s">
        <v>256</v>
      </c>
      <c r="AN213" t="s">
        <v>1581</v>
      </c>
      <c r="AO213" t="s">
        <v>3528</v>
      </c>
      <c r="AP213" t="s">
        <v>3529</v>
      </c>
      <c r="AQ213" t="s">
        <v>74</v>
      </c>
      <c r="AR213" t="s">
        <v>3530</v>
      </c>
      <c r="AS213" t="s">
        <v>3531</v>
      </c>
      <c r="AT213" t="s">
        <v>2847</v>
      </c>
      <c r="AU213">
        <v>2005</v>
      </c>
      <c r="AV213">
        <v>25</v>
      </c>
      <c r="AW213">
        <v>2</v>
      </c>
      <c r="AX213" t="s">
        <v>74</v>
      </c>
      <c r="AY213" t="s">
        <v>74</v>
      </c>
      <c r="AZ213" t="s">
        <v>74</v>
      </c>
      <c r="BA213" t="s">
        <v>74</v>
      </c>
      <c r="BB213">
        <v>196</v>
      </c>
      <c r="BC213">
        <v>202</v>
      </c>
      <c r="BD213" t="s">
        <v>74</v>
      </c>
      <c r="BE213" t="s">
        <v>3532</v>
      </c>
      <c r="BF213" t="str">
        <f>HYPERLINK("http://dx.doi.org/10.1651/C-2522","http://dx.doi.org/10.1651/C-2522")</f>
        <v>http://dx.doi.org/10.1651/C-2522</v>
      </c>
      <c r="BG213" t="s">
        <v>74</v>
      </c>
      <c r="BH213" t="s">
        <v>74</v>
      </c>
      <c r="BI213">
        <v>7</v>
      </c>
      <c r="BJ213" t="s">
        <v>3533</v>
      </c>
      <c r="BK213" t="s">
        <v>95</v>
      </c>
      <c r="BL213" t="s">
        <v>3533</v>
      </c>
      <c r="BM213" t="s">
        <v>3534</v>
      </c>
      <c r="BN213" t="s">
        <v>74</v>
      </c>
      <c r="BO213" t="s">
        <v>539</v>
      </c>
      <c r="BP213" t="s">
        <v>74</v>
      </c>
      <c r="BQ213" t="s">
        <v>74</v>
      </c>
      <c r="BR213" t="s">
        <v>97</v>
      </c>
      <c r="BS213" t="s">
        <v>3535</v>
      </c>
      <c r="BT213" t="str">
        <f>HYPERLINK("https%3A%2F%2Fwww.webofscience.com%2Fwos%2Fwoscc%2Ffull-record%2FWOS:000229088400003","View Full Record in Web of Science")</f>
        <v>View Full Record in Web of Science</v>
      </c>
    </row>
    <row r="214" spans="1:72" x14ac:dyDescent="0.15">
      <c r="A214" t="s">
        <v>72</v>
      </c>
      <c r="B214" t="s">
        <v>3536</v>
      </c>
      <c r="C214" t="s">
        <v>74</v>
      </c>
      <c r="D214" t="s">
        <v>74</v>
      </c>
      <c r="E214" t="s">
        <v>74</v>
      </c>
      <c r="F214" t="s">
        <v>3536</v>
      </c>
      <c r="G214" t="s">
        <v>74</v>
      </c>
      <c r="H214" t="s">
        <v>74</v>
      </c>
      <c r="I214" t="s">
        <v>3537</v>
      </c>
      <c r="J214" t="s">
        <v>1850</v>
      </c>
      <c r="K214" t="s">
        <v>74</v>
      </c>
      <c r="L214" t="s">
        <v>74</v>
      </c>
      <c r="M214" t="s">
        <v>77</v>
      </c>
      <c r="N214" t="s">
        <v>78</v>
      </c>
      <c r="O214" t="s">
        <v>74</v>
      </c>
      <c r="P214" t="s">
        <v>74</v>
      </c>
      <c r="Q214" t="s">
        <v>74</v>
      </c>
      <c r="R214" t="s">
        <v>74</v>
      </c>
      <c r="S214" t="s">
        <v>74</v>
      </c>
      <c r="T214" t="s">
        <v>3538</v>
      </c>
      <c r="U214" t="s">
        <v>3539</v>
      </c>
      <c r="V214" t="s">
        <v>3540</v>
      </c>
      <c r="W214" t="s">
        <v>3541</v>
      </c>
      <c r="X214" t="s">
        <v>3542</v>
      </c>
      <c r="Y214" t="s">
        <v>3543</v>
      </c>
      <c r="Z214" t="s">
        <v>3544</v>
      </c>
      <c r="AA214" t="s">
        <v>74</v>
      </c>
      <c r="AB214" t="s">
        <v>74</v>
      </c>
      <c r="AC214" t="s">
        <v>74</v>
      </c>
      <c r="AD214" t="s">
        <v>74</v>
      </c>
      <c r="AE214" t="s">
        <v>74</v>
      </c>
      <c r="AF214" t="s">
        <v>74</v>
      </c>
      <c r="AG214">
        <v>53</v>
      </c>
      <c r="AH214">
        <v>8</v>
      </c>
      <c r="AI214">
        <v>9</v>
      </c>
      <c r="AJ214">
        <v>0</v>
      </c>
      <c r="AK214">
        <v>4</v>
      </c>
      <c r="AL214" t="s">
        <v>472</v>
      </c>
      <c r="AM214" t="s">
        <v>473</v>
      </c>
      <c r="AN214" t="s">
        <v>474</v>
      </c>
      <c r="AO214" t="s">
        <v>1854</v>
      </c>
      <c r="AP214" t="s">
        <v>3545</v>
      </c>
      <c r="AQ214" t="s">
        <v>74</v>
      </c>
      <c r="AR214" t="s">
        <v>1855</v>
      </c>
      <c r="AS214" t="s">
        <v>1856</v>
      </c>
      <c r="AT214" t="s">
        <v>2847</v>
      </c>
      <c r="AU214">
        <v>2005</v>
      </c>
      <c r="AV214">
        <v>66</v>
      </c>
      <c r="AW214">
        <v>5</v>
      </c>
      <c r="AX214" t="s">
        <v>74</v>
      </c>
      <c r="AY214" t="s">
        <v>74</v>
      </c>
      <c r="AZ214" t="s">
        <v>74</v>
      </c>
      <c r="BA214" t="s">
        <v>74</v>
      </c>
      <c r="BB214">
        <v>1371</v>
      </c>
      <c r="BC214">
        <v>1386</v>
      </c>
      <c r="BD214" t="s">
        <v>74</v>
      </c>
      <c r="BE214" t="s">
        <v>3546</v>
      </c>
      <c r="BF214" t="str">
        <f>HYPERLINK("http://dx.doi.org/10.1111/j.0022-1112.2005.00689.x","http://dx.doi.org/10.1111/j.0022-1112.2005.00689.x")</f>
        <v>http://dx.doi.org/10.1111/j.0022-1112.2005.00689.x</v>
      </c>
      <c r="BG214" t="s">
        <v>74</v>
      </c>
      <c r="BH214" t="s">
        <v>74</v>
      </c>
      <c r="BI214">
        <v>16</v>
      </c>
      <c r="BJ214" t="s">
        <v>1857</v>
      </c>
      <c r="BK214" t="s">
        <v>95</v>
      </c>
      <c r="BL214" t="s">
        <v>1857</v>
      </c>
      <c r="BM214" t="s">
        <v>3547</v>
      </c>
      <c r="BN214" t="s">
        <v>74</v>
      </c>
      <c r="BO214" t="s">
        <v>74</v>
      </c>
      <c r="BP214" t="s">
        <v>74</v>
      </c>
      <c r="BQ214" t="s">
        <v>74</v>
      </c>
      <c r="BR214" t="s">
        <v>97</v>
      </c>
      <c r="BS214" t="s">
        <v>3548</v>
      </c>
      <c r="BT214" t="str">
        <f>HYPERLINK("https%3A%2F%2Fwww.webofscience.com%2Fwos%2Fwoscc%2Ffull-record%2FWOS:000229309400010","View Full Record in Web of Science")</f>
        <v>View Full Record in Web of Science</v>
      </c>
    </row>
    <row r="215" spans="1:72" x14ac:dyDescent="0.15">
      <c r="A215" t="s">
        <v>72</v>
      </c>
      <c r="B215" t="s">
        <v>1848</v>
      </c>
      <c r="C215" t="s">
        <v>74</v>
      </c>
      <c r="D215" t="s">
        <v>74</v>
      </c>
      <c r="E215" t="s">
        <v>74</v>
      </c>
      <c r="F215" t="s">
        <v>1848</v>
      </c>
      <c r="G215" t="s">
        <v>74</v>
      </c>
      <c r="H215" t="s">
        <v>74</v>
      </c>
      <c r="I215" t="s">
        <v>3549</v>
      </c>
      <c r="J215" t="s">
        <v>1850</v>
      </c>
      <c r="K215" t="s">
        <v>74</v>
      </c>
      <c r="L215" t="s">
        <v>74</v>
      </c>
      <c r="M215" t="s">
        <v>77</v>
      </c>
      <c r="N215" t="s">
        <v>78</v>
      </c>
      <c r="O215" t="s">
        <v>74</v>
      </c>
      <c r="P215" t="s">
        <v>74</v>
      </c>
      <c r="Q215" t="s">
        <v>74</v>
      </c>
      <c r="R215" t="s">
        <v>74</v>
      </c>
      <c r="S215" t="s">
        <v>74</v>
      </c>
      <c r="T215" t="s">
        <v>3550</v>
      </c>
      <c r="U215" t="s">
        <v>3551</v>
      </c>
      <c r="V215" t="s">
        <v>3552</v>
      </c>
      <c r="W215" t="s">
        <v>1861</v>
      </c>
      <c r="X215" t="s">
        <v>1862</v>
      </c>
      <c r="Y215" t="s">
        <v>3553</v>
      </c>
      <c r="Z215" t="s">
        <v>3554</v>
      </c>
      <c r="AA215" t="s">
        <v>74</v>
      </c>
      <c r="AB215" t="s">
        <v>3555</v>
      </c>
      <c r="AC215" t="s">
        <v>74</v>
      </c>
      <c r="AD215" t="s">
        <v>74</v>
      </c>
      <c r="AE215" t="s">
        <v>74</v>
      </c>
      <c r="AF215" t="s">
        <v>74</v>
      </c>
      <c r="AG215">
        <v>13</v>
      </c>
      <c r="AH215">
        <v>8</v>
      </c>
      <c r="AI215">
        <v>9</v>
      </c>
      <c r="AJ215">
        <v>0</v>
      </c>
      <c r="AK215">
        <v>1</v>
      </c>
      <c r="AL215" t="s">
        <v>472</v>
      </c>
      <c r="AM215" t="s">
        <v>473</v>
      </c>
      <c r="AN215" t="s">
        <v>474</v>
      </c>
      <c r="AO215" t="s">
        <v>1854</v>
      </c>
      <c r="AP215" t="s">
        <v>3545</v>
      </c>
      <c r="AQ215" t="s">
        <v>74</v>
      </c>
      <c r="AR215" t="s">
        <v>1855</v>
      </c>
      <c r="AS215" t="s">
        <v>1856</v>
      </c>
      <c r="AT215" t="s">
        <v>2847</v>
      </c>
      <c r="AU215">
        <v>2005</v>
      </c>
      <c r="AV215">
        <v>66</v>
      </c>
      <c r="AW215">
        <v>5</v>
      </c>
      <c r="AX215" t="s">
        <v>74</v>
      </c>
      <c r="AY215" t="s">
        <v>74</v>
      </c>
      <c r="AZ215" t="s">
        <v>74</v>
      </c>
      <c r="BA215" t="s">
        <v>74</v>
      </c>
      <c r="BB215">
        <v>1493</v>
      </c>
      <c r="BC215">
        <v>1497</v>
      </c>
      <c r="BD215" t="s">
        <v>74</v>
      </c>
      <c r="BE215" t="s">
        <v>3556</v>
      </c>
      <c r="BF215" t="str">
        <f>HYPERLINK("http://dx.doi.org/10.1111/j.0022-1112.2005.00697.x","http://dx.doi.org/10.1111/j.0022-1112.2005.00697.x")</f>
        <v>http://dx.doi.org/10.1111/j.0022-1112.2005.00697.x</v>
      </c>
      <c r="BG215" t="s">
        <v>74</v>
      </c>
      <c r="BH215" t="s">
        <v>74</v>
      </c>
      <c r="BI215">
        <v>5</v>
      </c>
      <c r="BJ215" t="s">
        <v>1857</v>
      </c>
      <c r="BK215" t="s">
        <v>95</v>
      </c>
      <c r="BL215" t="s">
        <v>1857</v>
      </c>
      <c r="BM215" t="s">
        <v>3547</v>
      </c>
      <c r="BN215" t="s">
        <v>74</v>
      </c>
      <c r="BO215" t="s">
        <v>539</v>
      </c>
      <c r="BP215" t="s">
        <v>74</v>
      </c>
      <c r="BQ215" t="s">
        <v>74</v>
      </c>
      <c r="BR215" t="s">
        <v>97</v>
      </c>
      <c r="BS215" t="s">
        <v>3557</v>
      </c>
      <c r="BT215" t="str">
        <f>HYPERLINK("https%3A%2F%2Fwww.webofscience.com%2Fwos%2Fwoscc%2Ffull-record%2FWOS:000229309400021","View Full Record in Web of Science")</f>
        <v>View Full Record in Web of Science</v>
      </c>
    </row>
    <row r="216" spans="1:72" x14ac:dyDescent="0.15">
      <c r="A216" t="s">
        <v>72</v>
      </c>
      <c r="B216" t="s">
        <v>3558</v>
      </c>
      <c r="C216" t="s">
        <v>74</v>
      </c>
      <c r="D216" t="s">
        <v>74</v>
      </c>
      <c r="E216" t="s">
        <v>74</v>
      </c>
      <c r="F216" t="s">
        <v>3558</v>
      </c>
      <c r="G216" t="s">
        <v>74</v>
      </c>
      <c r="H216" t="s">
        <v>74</v>
      </c>
      <c r="I216" t="s">
        <v>3559</v>
      </c>
      <c r="J216" t="s">
        <v>3560</v>
      </c>
      <c r="K216" t="s">
        <v>74</v>
      </c>
      <c r="L216" t="s">
        <v>74</v>
      </c>
      <c r="M216" t="s">
        <v>77</v>
      </c>
      <c r="N216" t="s">
        <v>3561</v>
      </c>
      <c r="O216" t="s">
        <v>74</v>
      </c>
      <c r="P216" t="s">
        <v>74</v>
      </c>
      <c r="Q216" t="s">
        <v>74</v>
      </c>
      <c r="R216" t="s">
        <v>74</v>
      </c>
      <c r="S216" t="s">
        <v>74</v>
      </c>
      <c r="T216" t="s">
        <v>74</v>
      </c>
      <c r="U216" t="s">
        <v>74</v>
      </c>
      <c r="V216" t="s">
        <v>74</v>
      </c>
      <c r="W216" t="s">
        <v>3562</v>
      </c>
      <c r="X216" t="s">
        <v>3563</v>
      </c>
      <c r="Y216" t="s">
        <v>3564</v>
      </c>
      <c r="Z216" t="s">
        <v>74</v>
      </c>
      <c r="AA216" t="s">
        <v>74</v>
      </c>
      <c r="AB216" t="s">
        <v>74</v>
      </c>
      <c r="AC216" t="s">
        <v>74</v>
      </c>
      <c r="AD216" t="s">
        <v>74</v>
      </c>
      <c r="AE216" t="s">
        <v>74</v>
      </c>
      <c r="AF216" t="s">
        <v>74</v>
      </c>
      <c r="AG216">
        <v>1</v>
      </c>
      <c r="AH216">
        <v>0</v>
      </c>
      <c r="AI216">
        <v>0</v>
      </c>
      <c r="AJ216">
        <v>0</v>
      </c>
      <c r="AK216">
        <v>1</v>
      </c>
      <c r="AL216" t="s">
        <v>3565</v>
      </c>
      <c r="AM216" t="s">
        <v>395</v>
      </c>
      <c r="AN216" t="s">
        <v>3566</v>
      </c>
      <c r="AO216" t="s">
        <v>3567</v>
      </c>
      <c r="AP216" t="s">
        <v>74</v>
      </c>
      <c r="AQ216" t="s">
        <v>74</v>
      </c>
      <c r="AR216" t="s">
        <v>3568</v>
      </c>
      <c r="AS216" t="s">
        <v>3569</v>
      </c>
      <c r="AT216" t="s">
        <v>2847</v>
      </c>
      <c r="AU216">
        <v>2005</v>
      </c>
      <c r="AV216">
        <v>33</v>
      </c>
      <c r="AW216">
        <v>2</v>
      </c>
      <c r="AX216" t="s">
        <v>74</v>
      </c>
      <c r="AY216" t="s">
        <v>74</v>
      </c>
      <c r="AZ216" t="s">
        <v>74</v>
      </c>
      <c r="BA216" t="s">
        <v>74</v>
      </c>
      <c r="BB216">
        <v>306</v>
      </c>
      <c r="BC216">
        <v>307</v>
      </c>
      <c r="BD216" t="s">
        <v>74</v>
      </c>
      <c r="BE216" t="s">
        <v>74</v>
      </c>
      <c r="BF216" t="s">
        <v>74</v>
      </c>
      <c r="BG216" t="s">
        <v>74</v>
      </c>
      <c r="BH216" t="s">
        <v>74</v>
      </c>
      <c r="BI216">
        <v>2</v>
      </c>
      <c r="BJ216" t="s">
        <v>3570</v>
      </c>
      <c r="BK216" t="s">
        <v>359</v>
      </c>
      <c r="BL216" t="s">
        <v>3570</v>
      </c>
      <c r="BM216" t="s">
        <v>3571</v>
      </c>
      <c r="BN216" t="s">
        <v>74</v>
      </c>
      <c r="BO216" t="s">
        <v>74</v>
      </c>
      <c r="BP216" t="s">
        <v>74</v>
      </c>
      <c r="BQ216" t="s">
        <v>74</v>
      </c>
      <c r="BR216" t="s">
        <v>97</v>
      </c>
      <c r="BS216" t="s">
        <v>3572</v>
      </c>
      <c r="BT216" t="str">
        <f>HYPERLINK("https%3A%2F%2Fwww.webofscience.com%2Fwos%2Fwoscc%2Ffull-record%2FWOS:000230470000027","View Full Record in Web of Science")</f>
        <v>View Full Record in Web of Science</v>
      </c>
    </row>
    <row r="217" spans="1:72" x14ac:dyDescent="0.15">
      <c r="A217" t="s">
        <v>72</v>
      </c>
      <c r="B217" t="s">
        <v>3573</v>
      </c>
      <c r="C217" t="s">
        <v>74</v>
      </c>
      <c r="D217" t="s">
        <v>74</v>
      </c>
      <c r="E217" t="s">
        <v>74</v>
      </c>
      <c r="F217" t="s">
        <v>3573</v>
      </c>
      <c r="G217" t="s">
        <v>74</v>
      </c>
      <c r="H217" t="s">
        <v>74</v>
      </c>
      <c r="I217" t="s">
        <v>3574</v>
      </c>
      <c r="J217" t="s">
        <v>3575</v>
      </c>
      <c r="K217" t="s">
        <v>74</v>
      </c>
      <c r="L217" t="s">
        <v>74</v>
      </c>
      <c r="M217" t="s">
        <v>77</v>
      </c>
      <c r="N217" t="s">
        <v>78</v>
      </c>
      <c r="O217" t="s">
        <v>74</v>
      </c>
      <c r="P217" t="s">
        <v>74</v>
      </c>
      <c r="Q217" t="s">
        <v>74</v>
      </c>
      <c r="R217" t="s">
        <v>74</v>
      </c>
      <c r="S217" t="s">
        <v>74</v>
      </c>
      <c r="T217" t="s">
        <v>3576</v>
      </c>
      <c r="U217" t="s">
        <v>3577</v>
      </c>
      <c r="V217" t="s">
        <v>3578</v>
      </c>
      <c r="W217" t="s">
        <v>3579</v>
      </c>
      <c r="X217" t="s">
        <v>3580</v>
      </c>
      <c r="Y217" t="s">
        <v>3581</v>
      </c>
      <c r="Z217" t="s">
        <v>3582</v>
      </c>
      <c r="AA217" t="s">
        <v>3583</v>
      </c>
      <c r="AB217" t="s">
        <v>3584</v>
      </c>
      <c r="AC217" t="s">
        <v>74</v>
      </c>
      <c r="AD217" t="s">
        <v>74</v>
      </c>
      <c r="AE217" t="s">
        <v>74</v>
      </c>
      <c r="AF217" t="s">
        <v>74</v>
      </c>
      <c r="AG217">
        <v>68</v>
      </c>
      <c r="AH217">
        <v>22</v>
      </c>
      <c r="AI217">
        <v>23</v>
      </c>
      <c r="AJ217">
        <v>0</v>
      </c>
      <c r="AK217">
        <v>7</v>
      </c>
      <c r="AL217" t="s">
        <v>3585</v>
      </c>
      <c r="AM217" t="s">
        <v>3586</v>
      </c>
      <c r="AN217" t="s">
        <v>3587</v>
      </c>
      <c r="AO217" t="s">
        <v>3588</v>
      </c>
      <c r="AP217" t="s">
        <v>74</v>
      </c>
      <c r="AQ217" t="s">
        <v>74</v>
      </c>
      <c r="AR217" t="s">
        <v>3589</v>
      </c>
      <c r="AS217" t="s">
        <v>3590</v>
      </c>
      <c r="AT217" t="s">
        <v>2847</v>
      </c>
      <c r="AU217">
        <v>2005</v>
      </c>
      <c r="AV217">
        <v>24</v>
      </c>
      <c r="AW217" t="s">
        <v>74</v>
      </c>
      <c r="AX217">
        <v>1</v>
      </c>
      <c r="AY217" t="s">
        <v>74</v>
      </c>
      <c r="AZ217" t="s">
        <v>74</v>
      </c>
      <c r="BA217" t="s">
        <v>74</v>
      </c>
      <c r="BB217">
        <v>77</v>
      </c>
      <c r="BC217">
        <v>94</v>
      </c>
      <c r="BD217" t="s">
        <v>74</v>
      </c>
      <c r="BE217" t="s">
        <v>3591</v>
      </c>
      <c r="BF217" t="str">
        <f>HYPERLINK("http://dx.doi.org/10.1144/jm.24.1.77","http://dx.doi.org/10.1144/jm.24.1.77")</f>
        <v>http://dx.doi.org/10.1144/jm.24.1.77</v>
      </c>
      <c r="BG217" t="s">
        <v>74</v>
      </c>
      <c r="BH217" t="s">
        <v>74</v>
      </c>
      <c r="BI217">
        <v>18</v>
      </c>
      <c r="BJ217" t="s">
        <v>420</v>
      </c>
      <c r="BK217" t="s">
        <v>95</v>
      </c>
      <c r="BL217" t="s">
        <v>420</v>
      </c>
      <c r="BM217" t="s">
        <v>3592</v>
      </c>
      <c r="BN217" t="s">
        <v>74</v>
      </c>
      <c r="BO217" t="s">
        <v>1776</v>
      </c>
      <c r="BP217" t="s">
        <v>74</v>
      </c>
      <c r="BQ217" t="s">
        <v>74</v>
      </c>
      <c r="BR217" t="s">
        <v>97</v>
      </c>
      <c r="BS217" t="s">
        <v>3593</v>
      </c>
      <c r="BT217" t="str">
        <f>HYPERLINK("https%3A%2F%2Fwww.webofscience.com%2Fwos%2Fwoscc%2Ffull-record%2FWOS:000229839900004","View Full Record in Web of Science")</f>
        <v>View Full Record in Web of Science</v>
      </c>
    </row>
    <row r="218" spans="1:72" x14ac:dyDescent="0.15">
      <c r="A218" t="s">
        <v>72</v>
      </c>
      <c r="B218" t="s">
        <v>3594</v>
      </c>
      <c r="C218" t="s">
        <v>74</v>
      </c>
      <c r="D218" t="s">
        <v>74</v>
      </c>
      <c r="E218" t="s">
        <v>74</v>
      </c>
      <c r="F218" t="s">
        <v>3594</v>
      </c>
      <c r="G218" t="s">
        <v>74</v>
      </c>
      <c r="H218" t="s">
        <v>74</v>
      </c>
      <c r="I218" t="s">
        <v>3595</v>
      </c>
      <c r="J218" t="s">
        <v>3596</v>
      </c>
      <c r="K218" t="s">
        <v>74</v>
      </c>
      <c r="L218" t="s">
        <v>74</v>
      </c>
      <c r="M218" t="s">
        <v>77</v>
      </c>
      <c r="N218" t="s">
        <v>78</v>
      </c>
      <c r="O218" t="s">
        <v>74</v>
      </c>
      <c r="P218" t="s">
        <v>74</v>
      </c>
      <c r="Q218" t="s">
        <v>74</v>
      </c>
      <c r="R218" t="s">
        <v>74</v>
      </c>
      <c r="S218" t="s">
        <v>74</v>
      </c>
      <c r="T218" t="s">
        <v>3597</v>
      </c>
      <c r="U218" t="s">
        <v>3598</v>
      </c>
      <c r="V218" t="s">
        <v>3599</v>
      </c>
      <c r="W218" t="s">
        <v>3600</v>
      </c>
      <c r="X218" t="s">
        <v>3601</v>
      </c>
      <c r="Y218" t="s">
        <v>3602</v>
      </c>
      <c r="Z218" t="s">
        <v>3603</v>
      </c>
      <c r="AA218" t="s">
        <v>74</v>
      </c>
      <c r="AB218" t="s">
        <v>3604</v>
      </c>
      <c r="AC218" t="s">
        <v>74</v>
      </c>
      <c r="AD218" t="s">
        <v>74</v>
      </c>
      <c r="AE218" t="s">
        <v>74</v>
      </c>
      <c r="AF218" t="s">
        <v>74</v>
      </c>
      <c r="AG218">
        <v>38</v>
      </c>
      <c r="AH218">
        <v>22</v>
      </c>
      <c r="AI218">
        <v>24</v>
      </c>
      <c r="AJ218">
        <v>0</v>
      </c>
      <c r="AK218">
        <v>24</v>
      </c>
      <c r="AL218" t="s">
        <v>133</v>
      </c>
      <c r="AM218" t="s">
        <v>374</v>
      </c>
      <c r="AN218" t="s">
        <v>375</v>
      </c>
      <c r="AO218" t="s">
        <v>3605</v>
      </c>
      <c r="AP218" t="s">
        <v>3606</v>
      </c>
      <c r="AQ218" t="s">
        <v>74</v>
      </c>
      <c r="AR218" t="s">
        <v>3607</v>
      </c>
      <c r="AS218" t="s">
        <v>3608</v>
      </c>
      <c r="AT218" t="s">
        <v>2847</v>
      </c>
      <c r="AU218">
        <v>2005</v>
      </c>
      <c r="AV218">
        <v>33</v>
      </c>
      <c r="AW218">
        <v>4</v>
      </c>
      <c r="AX218" t="s">
        <v>74</v>
      </c>
      <c r="AY218" t="s">
        <v>74</v>
      </c>
      <c r="AZ218" t="s">
        <v>74</v>
      </c>
      <c r="BA218" t="s">
        <v>74</v>
      </c>
      <c r="BB218">
        <v>499</v>
      </c>
      <c r="BC218">
        <v>513</v>
      </c>
      <c r="BD218" t="s">
        <v>74</v>
      </c>
      <c r="BE218" t="s">
        <v>3609</v>
      </c>
      <c r="BF218" t="str">
        <f>HYPERLINK("http://dx.doi.org/10.1007/s10933-005-0814-0","http://dx.doi.org/10.1007/s10933-005-0814-0")</f>
        <v>http://dx.doi.org/10.1007/s10933-005-0814-0</v>
      </c>
      <c r="BG218" t="s">
        <v>74</v>
      </c>
      <c r="BH218" t="s">
        <v>74</v>
      </c>
      <c r="BI218">
        <v>15</v>
      </c>
      <c r="BJ218" t="s">
        <v>3610</v>
      </c>
      <c r="BK218" t="s">
        <v>95</v>
      </c>
      <c r="BL218" t="s">
        <v>3611</v>
      </c>
      <c r="BM218" t="s">
        <v>3612</v>
      </c>
      <c r="BN218" t="s">
        <v>74</v>
      </c>
      <c r="BO218" t="s">
        <v>74</v>
      </c>
      <c r="BP218" t="s">
        <v>74</v>
      </c>
      <c r="BQ218" t="s">
        <v>74</v>
      </c>
      <c r="BR218" t="s">
        <v>97</v>
      </c>
      <c r="BS218" t="s">
        <v>3613</v>
      </c>
      <c r="BT218" t="str">
        <f>HYPERLINK("https%3A%2F%2Fwww.webofscience.com%2Fwos%2Fwoscc%2Ffull-record%2FWOS:000229189000006","View Full Record in Web of Science")</f>
        <v>View Full Record in Web of Science</v>
      </c>
    </row>
    <row r="219" spans="1:72" x14ac:dyDescent="0.15">
      <c r="A219" t="s">
        <v>72</v>
      </c>
      <c r="B219" t="s">
        <v>3614</v>
      </c>
      <c r="C219" t="s">
        <v>74</v>
      </c>
      <c r="D219" t="s">
        <v>74</v>
      </c>
      <c r="E219" t="s">
        <v>74</v>
      </c>
      <c r="F219" t="s">
        <v>3614</v>
      </c>
      <c r="G219" t="s">
        <v>74</v>
      </c>
      <c r="H219" t="s">
        <v>74</v>
      </c>
      <c r="I219" t="s">
        <v>3615</v>
      </c>
      <c r="J219" t="s">
        <v>1963</v>
      </c>
      <c r="K219" t="s">
        <v>74</v>
      </c>
      <c r="L219" t="s">
        <v>74</v>
      </c>
      <c r="M219" t="s">
        <v>77</v>
      </c>
      <c r="N219" t="s">
        <v>78</v>
      </c>
      <c r="O219" t="s">
        <v>74</v>
      </c>
      <c r="P219" t="s">
        <v>74</v>
      </c>
      <c r="Q219" t="s">
        <v>74</v>
      </c>
      <c r="R219" t="s">
        <v>74</v>
      </c>
      <c r="S219" t="s">
        <v>74</v>
      </c>
      <c r="T219" t="s">
        <v>74</v>
      </c>
      <c r="U219" t="s">
        <v>3616</v>
      </c>
      <c r="V219" t="s">
        <v>3617</v>
      </c>
      <c r="W219" t="s">
        <v>3618</v>
      </c>
      <c r="X219" t="s">
        <v>1967</v>
      </c>
      <c r="Y219" t="s">
        <v>3619</v>
      </c>
      <c r="Z219" t="s">
        <v>3620</v>
      </c>
      <c r="AA219" t="s">
        <v>74</v>
      </c>
      <c r="AB219" t="s">
        <v>3621</v>
      </c>
      <c r="AC219" t="s">
        <v>74</v>
      </c>
      <c r="AD219" t="s">
        <v>74</v>
      </c>
      <c r="AE219" t="s">
        <v>74</v>
      </c>
      <c r="AF219" t="s">
        <v>74</v>
      </c>
      <c r="AG219">
        <v>31</v>
      </c>
      <c r="AH219">
        <v>104</v>
      </c>
      <c r="AI219">
        <v>112</v>
      </c>
      <c r="AJ219">
        <v>0</v>
      </c>
      <c r="AK219">
        <v>20</v>
      </c>
      <c r="AL219" t="s">
        <v>902</v>
      </c>
      <c r="AM219" t="s">
        <v>903</v>
      </c>
      <c r="AN219" t="s">
        <v>922</v>
      </c>
      <c r="AO219" t="s">
        <v>1970</v>
      </c>
      <c r="AP219" t="s">
        <v>74</v>
      </c>
      <c r="AQ219" t="s">
        <v>74</v>
      </c>
      <c r="AR219" t="s">
        <v>1971</v>
      </c>
      <c r="AS219" t="s">
        <v>1972</v>
      </c>
      <c r="AT219" t="s">
        <v>2847</v>
      </c>
      <c r="AU219">
        <v>2005</v>
      </c>
      <c r="AV219">
        <v>35</v>
      </c>
      <c r="AW219">
        <v>5</v>
      </c>
      <c r="AX219" t="s">
        <v>74</v>
      </c>
      <c r="AY219" t="s">
        <v>74</v>
      </c>
      <c r="AZ219" t="s">
        <v>74</v>
      </c>
      <c r="BA219" t="s">
        <v>74</v>
      </c>
      <c r="BB219">
        <v>683</v>
      </c>
      <c r="BC219">
        <v>707</v>
      </c>
      <c r="BD219" t="s">
        <v>74</v>
      </c>
      <c r="BE219" t="s">
        <v>3622</v>
      </c>
      <c r="BF219" t="str">
        <f>HYPERLINK("http://dx.doi.org/10.1175/JPO2702.1","http://dx.doi.org/10.1175/JPO2702.1")</f>
        <v>http://dx.doi.org/10.1175/JPO2702.1</v>
      </c>
      <c r="BG219" t="s">
        <v>74</v>
      </c>
      <c r="BH219" t="s">
        <v>74</v>
      </c>
      <c r="BI219">
        <v>25</v>
      </c>
      <c r="BJ219" t="s">
        <v>632</v>
      </c>
      <c r="BK219" t="s">
        <v>95</v>
      </c>
      <c r="BL219" t="s">
        <v>632</v>
      </c>
      <c r="BM219" t="s">
        <v>3623</v>
      </c>
      <c r="BN219" t="s">
        <v>74</v>
      </c>
      <c r="BO219" t="s">
        <v>572</v>
      </c>
      <c r="BP219" t="s">
        <v>74</v>
      </c>
      <c r="BQ219" t="s">
        <v>74</v>
      </c>
      <c r="BR219" t="s">
        <v>97</v>
      </c>
      <c r="BS219" t="s">
        <v>3624</v>
      </c>
      <c r="BT219" t="str">
        <f>HYPERLINK("https%3A%2F%2Fwww.webofscience.com%2Fwos%2Fwoscc%2Ffull-record%2FWOS:000230003500008","View Full Record in Web of Science")</f>
        <v>View Full Record in Web of Science</v>
      </c>
    </row>
    <row r="220" spans="1:72" x14ac:dyDescent="0.15">
      <c r="A220" t="s">
        <v>72</v>
      </c>
      <c r="B220" t="s">
        <v>3625</v>
      </c>
      <c r="C220" t="s">
        <v>74</v>
      </c>
      <c r="D220" t="s">
        <v>74</v>
      </c>
      <c r="E220" t="s">
        <v>74</v>
      </c>
      <c r="F220" t="s">
        <v>3625</v>
      </c>
      <c r="G220" t="s">
        <v>74</v>
      </c>
      <c r="H220" t="s">
        <v>74</v>
      </c>
      <c r="I220" t="s">
        <v>3626</v>
      </c>
      <c r="J220" t="s">
        <v>1963</v>
      </c>
      <c r="K220" t="s">
        <v>74</v>
      </c>
      <c r="L220" t="s">
        <v>74</v>
      </c>
      <c r="M220" t="s">
        <v>77</v>
      </c>
      <c r="N220" t="s">
        <v>78</v>
      </c>
      <c r="O220" t="s">
        <v>74</v>
      </c>
      <c r="P220" t="s">
        <v>74</v>
      </c>
      <c r="Q220" t="s">
        <v>74</v>
      </c>
      <c r="R220" t="s">
        <v>74</v>
      </c>
      <c r="S220" t="s">
        <v>74</v>
      </c>
      <c r="T220" t="s">
        <v>74</v>
      </c>
      <c r="U220" t="s">
        <v>3627</v>
      </c>
      <c r="V220" t="s">
        <v>3628</v>
      </c>
      <c r="W220" t="s">
        <v>3629</v>
      </c>
      <c r="X220" t="s">
        <v>3630</v>
      </c>
      <c r="Y220" t="s">
        <v>3631</v>
      </c>
      <c r="Z220" t="s">
        <v>3632</v>
      </c>
      <c r="AA220" t="s">
        <v>74</v>
      </c>
      <c r="AB220" t="s">
        <v>74</v>
      </c>
      <c r="AC220" t="s">
        <v>74</v>
      </c>
      <c r="AD220" t="s">
        <v>74</v>
      </c>
      <c r="AE220" t="s">
        <v>74</v>
      </c>
      <c r="AF220" t="s">
        <v>74</v>
      </c>
      <c r="AG220">
        <v>32</v>
      </c>
      <c r="AH220">
        <v>91</v>
      </c>
      <c r="AI220">
        <v>96</v>
      </c>
      <c r="AJ220">
        <v>0</v>
      </c>
      <c r="AK220">
        <v>16</v>
      </c>
      <c r="AL220" t="s">
        <v>902</v>
      </c>
      <c r="AM220" t="s">
        <v>903</v>
      </c>
      <c r="AN220" t="s">
        <v>922</v>
      </c>
      <c r="AO220" t="s">
        <v>1970</v>
      </c>
      <c r="AP220" t="s">
        <v>3633</v>
      </c>
      <c r="AQ220" t="s">
        <v>74</v>
      </c>
      <c r="AR220" t="s">
        <v>1971</v>
      </c>
      <c r="AS220" t="s">
        <v>1972</v>
      </c>
      <c r="AT220" t="s">
        <v>2847</v>
      </c>
      <c r="AU220">
        <v>2005</v>
      </c>
      <c r="AV220">
        <v>35</v>
      </c>
      <c r="AW220">
        <v>5</v>
      </c>
      <c r="AX220" t="s">
        <v>74</v>
      </c>
      <c r="AY220" t="s">
        <v>74</v>
      </c>
      <c r="AZ220" t="s">
        <v>74</v>
      </c>
      <c r="BA220" t="s">
        <v>74</v>
      </c>
      <c r="BB220">
        <v>826</v>
      </c>
      <c r="BC220">
        <v>834</v>
      </c>
      <c r="BD220" t="s">
        <v>74</v>
      </c>
      <c r="BE220" t="s">
        <v>3634</v>
      </c>
      <c r="BF220" t="str">
        <f>HYPERLINK("http://dx.doi.org/10.1175/JPO2722.1","http://dx.doi.org/10.1175/JPO2722.1")</f>
        <v>http://dx.doi.org/10.1175/JPO2722.1</v>
      </c>
      <c r="BG220" t="s">
        <v>74</v>
      </c>
      <c r="BH220" t="s">
        <v>74</v>
      </c>
      <c r="BI220">
        <v>9</v>
      </c>
      <c r="BJ220" t="s">
        <v>632</v>
      </c>
      <c r="BK220" t="s">
        <v>95</v>
      </c>
      <c r="BL220" t="s">
        <v>632</v>
      </c>
      <c r="BM220" t="s">
        <v>3623</v>
      </c>
      <c r="BN220" t="s">
        <v>74</v>
      </c>
      <c r="BO220" t="s">
        <v>1776</v>
      </c>
      <c r="BP220" t="s">
        <v>74</v>
      </c>
      <c r="BQ220" t="s">
        <v>74</v>
      </c>
      <c r="BR220" t="s">
        <v>97</v>
      </c>
      <c r="BS220" t="s">
        <v>3635</v>
      </c>
      <c r="BT220" t="str">
        <f>HYPERLINK("https%3A%2F%2Fwww.webofscience.com%2Fwos%2Fwoscc%2Ffull-record%2FWOS:000230003500016","View Full Record in Web of Science")</f>
        <v>View Full Record in Web of Science</v>
      </c>
    </row>
    <row r="221" spans="1:72" x14ac:dyDescent="0.15">
      <c r="A221" t="s">
        <v>72</v>
      </c>
      <c r="B221" t="s">
        <v>3636</v>
      </c>
      <c r="C221" t="s">
        <v>74</v>
      </c>
      <c r="D221" t="s">
        <v>74</v>
      </c>
      <c r="E221" t="s">
        <v>74</v>
      </c>
      <c r="F221" t="s">
        <v>3636</v>
      </c>
      <c r="G221" t="s">
        <v>74</v>
      </c>
      <c r="H221" t="s">
        <v>74</v>
      </c>
      <c r="I221" t="s">
        <v>3637</v>
      </c>
      <c r="J221" t="s">
        <v>3638</v>
      </c>
      <c r="K221" t="s">
        <v>74</v>
      </c>
      <c r="L221" t="s">
        <v>74</v>
      </c>
      <c r="M221" t="s">
        <v>77</v>
      </c>
      <c r="N221" t="s">
        <v>495</v>
      </c>
      <c r="O221" t="s">
        <v>3639</v>
      </c>
      <c r="P221" t="s">
        <v>3640</v>
      </c>
      <c r="Q221" t="s">
        <v>3641</v>
      </c>
      <c r="R221" t="s">
        <v>74</v>
      </c>
      <c r="S221" t="s">
        <v>74</v>
      </c>
      <c r="T221" t="s">
        <v>3642</v>
      </c>
      <c r="U221" t="s">
        <v>3643</v>
      </c>
      <c r="V221" t="s">
        <v>3644</v>
      </c>
      <c r="W221" t="s">
        <v>3645</v>
      </c>
      <c r="X221" t="s">
        <v>3646</v>
      </c>
      <c r="Y221" t="s">
        <v>3647</v>
      </c>
      <c r="Z221" t="s">
        <v>3648</v>
      </c>
      <c r="AA221" t="s">
        <v>74</v>
      </c>
      <c r="AB221" t="s">
        <v>3649</v>
      </c>
      <c r="AC221" t="s">
        <v>74</v>
      </c>
      <c r="AD221" t="s">
        <v>74</v>
      </c>
      <c r="AE221" t="s">
        <v>74</v>
      </c>
      <c r="AF221" t="s">
        <v>74</v>
      </c>
      <c r="AG221">
        <v>54</v>
      </c>
      <c r="AH221">
        <v>37</v>
      </c>
      <c r="AI221">
        <v>38</v>
      </c>
      <c r="AJ221">
        <v>0</v>
      </c>
      <c r="AK221">
        <v>4</v>
      </c>
      <c r="AL221" t="s">
        <v>255</v>
      </c>
      <c r="AM221" t="s">
        <v>256</v>
      </c>
      <c r="AN221" t="s">
        <v>257</v>
      </c>
      <c r="AO221" t="s">
        <v>3650</v>
      </c>
      <c r="AP221" t="s">
        <v>3651</v>
      </c>
      <c r="AQ221" t="s">
        <v>74</v>
      </c>
      <c r="AR221" t="s">
        <v>3652</v>
      </c>
      <c r="AS221" t="s">
        <v>3653</v>
      </c>
      <c r="AT221" t="s">
        <v>2847</v>
      </c>
      <c r="AU221">
        <v>2005</v>
      </c>
      <c r="AV221">
        <v>19</v>
      </c>
      <c r="AW221">
        <v>1</v>
      </c>
      <c r="AX221" t="s">
        <v>74</v>
      </c>
      <c r="AY221" t="s">
        <v>74</v>
      </c>
      <c r="AZ221" t="s">
        <v>74</v>
      </c>
      <c r="BA221" t="s">
        <v>74</v>
      </c>
      <c r="BB221">
        <v>99</v>
      </c>
      <c r="BC221">
        <v>109</v>
      </c>
      <c r="BD221" t="s">
        <v>74</v>
      </c>
      <c r="BE221" t="s">
        <v>3654</v>
      </c>
      <c r="BF221" t="str">
        <f>HYPERLINK("http://dx.doi.org/10.1016/j.jsames.2004.12.003","http://dx.doi.org/10.1016/j.jsames.2004.12.003")</f>
        <v>http://dx.doi.org/10.1016/j.jsames.2004.12.003</v>
      </c>
      <c r="BG221" t="s">
        <v>74</v>
      </c>
      <c r="BH221" t="s">
        <v>74</v>
      </c>
      <c r="BI221">
        <v>11</v>
      </c>
      <c r="BJ221" t="s">
        <v>537</v>
      </c>
      <c r="BK221" t="s">
        <v>514</v>
      </c>
      <c r="BL221" t="s">
        <v>307</v>
      </c>
      <c r="BM221" t="s">
        <v>3655</v>
      </c>
      <c r="BN221" t="s">
        <v>74</v>
      </c>
      <c r="BO221" t="s">
        <v>750</v>
      </c>
      <c r="BP221" t="s">
        <v>74</v>
      </c>
      <c r="BQ221" t="s">
        <v>74</v>
      </c>
      <c r="BR221" t="s">
        <v>97</v>
      </c>
      <c r="BS221" t="s">
        <v>3656</v>
      </c>
      <c r="BT221" t="str">
        <f>HYPERLINK("https%3A%2F%2Fwww.webofscience.com%2Fwos%2Fwoscc%2Ffull-record%2FWOS:000231583800008","View Full Record in Web of Science")</f>
        <v>View Full Record in Web of Science</v>
      </c>
    </row>
    <row r="222" spans="1:72" x14ac:dyDescent="0.15">
      <c r="A222" t="s">
        <v>72</v>
      </c>
      <c r="B222" t="s">
        <v>3657</v>
      </c>
      <c r="C222" t="s">
        <v>74</v>
      </c>
      <c r="D222" t="s">
        <v>74</v>
      </c>
      <c r="E222" t="s">
        <v>74</v>
      </c>
      <c r="F222" t="s">
        <v>3657</v>
      </c>
      <c r="G222" t="s">
        <v>74</v>
      </c>
      <c r="H222" t="s">
        <v>74</v>
      </c>
      <c r="I222" t="s">
        <v>3658</v>
      </c>
      <c r="J222" t="s">
        <v>3659</v>
      </c>
      <c r="K222" t="s">
        <v>74</v>
      </c>
      <c r="L222" t="s">
        <v>74</v>
      </c>
      <c r="M222" t="s">
        <v>77</v>
      </c>
      <c r="N222" t="s">
        <v>78</v>
      </c>
      <c r="O222" t="s">
        <v>74</v>
      </c>
      <c r="P222" t="s">
        <v>74</v>
      </c>
      <c r="Q222" t="s">
        <v>74</v>
      </c>
      <c r="R222" t="s">
        <v>74</v>
      </c>
      <c r="S222" t="s">
        <v>74</v>
      </c>
      <c r="T222" t="s">
        <v>3660</v>
      </c>
      <c r="U222" t="s">
        <v>3661</v>
      </c>
      <c r="V222" t="s">
        <v>3662</v>
      </c>
      <c r="W222" t="s">
        <v>3663</v>
      </c>
      <c r="X222" t="s">
        <v>3664</v>
      </c>
      <c r="Y222" t="s">
        <v>3665</v>
      </c>
      <c r="Z222" t="s">
        <v>3666</v>
      </c>
      <c r="AA222" t="s">
        <v>3667</v>
      </c>
      <c r="AB222" t="s">
        <v>3668</v>
      </c>
      <c r="AC222" t="s">
        <v>74</v>
      </c>
      <c r="AD222" t="s">
        <v>74</v>
      </c>
      <c r="AE222" t="s">
        <v>74</v>
      </c>
      <c r="AF222" t="s">
        <v>74</v>
      </c>
      <c r="AG222">
        <v>82</v>
      </c>
      <c r="AH222">
        <v>27</v>
      </c>
      <c r="AI222">
        <v>28</v>
      </c>
      <c r="AJ222">
        <v>0</v>
      </c>
      <c r="AK222">
        <v>7</v>
      </c>
      <c r="AL222" t="s">
        <v>3585</v>
      </c>
      <c r="AM222" t="s">
        <v>3586</v>
      </c>
      <c r="AN222" t="s">
        <v>3587</v>
      </c>
      <c r="AO222" t="s">
        <v>3669</v>
      </c>
      <c r="AP222" t="s">
        <v>3670</v>
      </c>
      <c r="AQ222" t="s">
        <v>74</v>
      </c>
      <c r="AR222" t="s">
        <v>3671</v>
      </c>
      <c r="AS222" t="s">
        <v>3672</v>
      </c>
      <c r="AT222" t="s">
        <v>2847</v>
      </c>
      <c r="AU222">
        <v>2005</v>
      </c>
      <c r="AV222">
        <v>162</v>
      </c>
      <c r="AW222" t="s">
        <v>74</v>
      </c>
      <c r="AX222">
        <v>3</v>
      </c>
      <c r="AY222" t="s">
        <v>74</v>
      </c>
      <c r="AZ222" t="s">
        <v>74</v>
      </c>
      <c r="BA222" t="s">
        <v>74</v>
      </c>
      <c r="BB222">
        <v>563</v>
      </c>
      <c r="BC222">
        <v>575</v>
      </c>
      <c r="BD222" t="s">
        <v>74</v>
      </c>
      <c r="BE222" t="s">
        <v>3673</v>
      </c>
      <c r="BF222" t="str">
        <f>HYPERLINK("http://dx.doi.org/10.1144/0016-784904-067","http://dx.doi.org/10.1144/0016-784904-067")</f>
        <v>http://dx.doi.org/10.1144/0016-784904-067</v>
      </c>
      <c r="BG222" t="s">
        <v>74</v>
      </c>
      <c r="BH222" t="s">
        <v>74</v>
      </c>
      <c r="BI222">
        <v>13</v>
      </c>
      <c r="BJ222" t="s">
        <v>537</v>
      </c>
      <c r="BK222" t="s">
        <v>95</v>
      </c>
      <c r="BL222" t="s">
        <v>307</v>
      </c>
      <c r="BM222" t="s">
        <v>3674</v>
      </c>
      <c r="BN222" t="s">
        <v>74</v>
      </c>
      <c r="BO222" t="s">
        <v>74</v>
      </c>
      <c r="BP222" t="s">
        <v>74</v>
      </c>
      <c r="BQ222" t="s">
        <v>74</v>
      </c>
      <c r="BR222" t="s">
        <v>97</v>
      </c>
      <c r="BS222" t="s">
        <v>3675</v>
      </c>
      <c r="BT222" t="str">
        <f>HYPERLINK("https%3A%2F%2Fwww.webofscience.com%2Fwos%2Fwoscc%2Ffull-record%2FWOS:000229084400015","View Full Record in Web of Science")</f>
        <v>View Full Record in Web of Science</v>
      </c>
    </row>
    <row r="223" spans="1:72" x14ac:dyDescent="0.15">
      <c r="A223" t="s">
        <v>72</v>
      </c>
      <c r="B223" t="s">
        <v>3676</v>
      </c>
      <c r="C223" t="s">
        <v>74</v>
      </c>
      <c r="D223" t="s">
        <v>74</v>
      </c>
      <c r="E223" t="s">
        <v>74</v>
      </c>
      <c r="F223" t="s">
        <v>3676</v>
      </c>
      <c r="G223" t="s">
        <v>74</v>
      </c>
      <c r="H223" t="s">
        <v>74</v>
      </c>
      <c r="I223" t="s">
        <v>3677</v>
      </c>
      <c r="J223" t="s">
        <v>3678</v>
      </c>
      <c r="K223" t="s">
        <v>74</v>
      </c>
      <c r="L223" t="s">
        <v>74</v>
      </c>
      <c r="M223" t="s">
        <v>77</v>
      </c>
      <c r="N223" t="s">
        <v>78</v>
      </c>
      <c r="O223" t="s">
        <v>74</v>
      </c>
      <c r="P223" t="s">
        <v>74</v>
      </c>
      <c r="Q223" t="s">
        <v>74</v>
      </c>
      <c r="R223" t="s">
        <v>74</v>
      </c>
      <c r="S223" t="s">
        <v>74</v>
      </c>
      <c r="T223" t="s">
        <v>74</v>
      </c>
      <c r="U223" t="s">
        <v>3679</v>
      </c>
      <c r="V223" t="s">
        <v>3680</v>
      </c>
      <c r="W223" t="s">
        <v>3681</v>
      </c>
      <c r="X223" t="s">
        <v>1375</v>
      </c>
      <c r="Y223" t="s">
        <v>3682</v>
      </c>
      <c r="Z223" t="s">
        <v>74</v>
      </c>
      <c r="AA223" t="s">
        <v>74</v>
      </c>
      <c r="AB223" t="s">
        <v>74</v>
      </c>
      <c r="AC223" t="s">
        <v>74</v>
      </c>
      <c r="AD223" t="s">
        <v>74</v>
      </c>
      <c r="AE223" t="s">
        <v>74</v>
      </c>
      <c r="AF223" t="s">
        <v>74</v>
      </c>
      <c r="AG223">
        <v>58</v>
      </c>
      <c r="AH223">
        <v>41</v>
      </c>
      <c r="AI223">
        <v>46</v>
      </c>
      <c r="AJ223">
        <v>1</v>
      </c>
      <c r="AK223">
        <v>11</v>
      </c>
      <c r="AL223" t="s">
        <v>472</v>
      </c>
      <c r="AM223" t="s">
        <v>473</v>
      </c>
      <c r="AN223" t="s">
        <v>474</v>
      </c>
      <c r="AO223" t="s">
        <v>3683</v>
      </c>
      <c r="AP223" t="s">
        <v>3684</v>
      </c>
      <c r="AQ223" t="s">
        <v>74</v>
      </c>
      <c r="AR223" t="s">
        <v>3685</v>
      </c>
      <c r="AS223" t="s">
        <v>3686</v>
      </c>
      <c r="AT223" t="s">
        <v>2847</v>
      </c>
      <c r="AU223">
        <v>2005</v>
      </c>
      <c r="AV223">
        <v>50</v>
      </c>
      <c r="AW223">
        <v>3</v>
      </c>
      <c r="AX223" t="s">
        <v>74</v>
      </c>
      <c r="AY223" t="s">
        <v>74</v>
      </c>
      <c r="AZ223" t="s">
        <v>74</v>
      </c>
      <c r="BA223" t="s">
        <v>74</v>
      </c>
      <c r="BB223">
        <v>810</v>
      </c>
      <c r="BC223">
        <v>824</v>
      </c>
      <c r="BD223" t="s">
        <v>74</v>
      </c>
      <c r="BE223" t="s">
        <v>3687</v>
      </c>
      <c r="BF223" t="str">
        <f>HYPERLINK("http://dx.doi.org/10.4319/lo.2005.50.3.0810","http://dx.doi.org/10.4319/lo.2005.50.3.0810")</f>
        <v>http://dx.doi.org/10.4319/lo.2005.50.3.0810</v>
      </c>
      <c r="BG223" t="s">
        <v>74</v>
      </c>
      <c r="BH223" t="s">
        <v>74</v>
      </c>
      <c r="BI223">
        <v>15</v>
      </c>
      <c r="BJ223" t="s">
        <v>3688</v>
      </c>
      <c r="BK223" t="s">
        <v>95</v>
      </c>
      <c r="BL223" t="s">
        <v>3689</v>
      </c>
      <c r="BM223" t="s">
        <v>3690</v>
      </c>
      <c r="BN223" t="s">
        <v>74</v>
      </c>
      <c r="BO223" t="s">
        <v>539</v>
      </c>
      <c r="BP223" t="s">
        <v>74</v>
      </c>
      <c r="BQ223" t="s">
        <v>74</v>
      </c>
      <c r="BR223" t="s">
        <v>97</v>
      </c>
      <c r="BS223" t="s">
        <v>3691</v>
      </c>
      <c r="BT223" t="str">
        <f>HYPERLINK("https%3A%2F%2Fwww.webofscience.com%2Fwos%2Fwoscc%2Ffull-record%2FWOS:000229243700007","View Full Record in Web of Science")</f>
        <v>View Full Record in Web of Science</v>
      </c>
    </row>
    <row r="224" spans="1:72" x14ac:dyDescent="0.15">
      <c r="A224" t="s">
        <v>72</v>
      </c>
      <c r="B224" t="s">
        <v>3692</v>
      </c>
      <c r="C224" t="s">
        <v>74</v>
      </c>
      <c r="D224" t="s">
        <v>74</v>
      </c>
      <c r="E224" t="s">
        <v>74</v>
      </c>
      <c r="F224" t="s">
        <v>3692</v>
      </c>
      <c r="G224" t="s">
        <v>74</v>
      </c>
      <c r="H224" t="s">
        <v>74</v>
      </c>
      <c r="I224" t="s">
        <v>3693</v>
      </c>
      <c r="J224" t="s">
        <v>3694</v>
      </c>
      <c r="K224" t="s">
        <v>74</v>
      </c>
      <c r="L224" t="s">
        <v>74</v>
      </c>
      <c r="M224" t="s">
        <v>77</v>
      </c>
      <c r="N224" t="s">
        <v>78</v>
      </c>
      <c r="O224" t="s">
        <v>74</v>
      </c>
      <c r="P224" t="s">
        <v>74</v>
      </c>
      <c r="Q224" t="s">
        <v>74</v>
      </c>
      <c r="R224" t="s">
        <v>74</v>
      </c>
      <c r="S224" t="s">
        <v>74</v>
      </c>
      <c r="T224" t="s">
        <v>3695</v>
      </c>
      <c r="U224" t="s">
        <v>3696</v>
      </c>
      <c r="V224" t="s">
        <v>3697</v>
      </c>
      <c r="W224" t="s">
        <v>3698</v>
      </c>
      <c r="X224" t="s">
        <v>3699</v>
      </c>
      <c r="Y224" t="s">
        <v>3700</v>
      </c>
      <c r="Z224" t="s">
        <v>3701</v>
      </c>
      <c r="AA224" t="s">
        <v>74</v>
      </c>
      <c r="AB224" t="s">
        <v>74</v>
      </c>
      <c r="AC224" t="s">
        <v>74</v>
      </c>
      <c r="AD224" t="s">
        <v>74</v>
      </c>
      <c r="AE224" t="s">
        <v>74</v>
      </c>
      <c r="AF224" t="s">
        <v>74</v>
      </c>
      <c r="AG224">
        <v>23</v>
      </c>
      <c r="AH224">
        <v>30</v>
      </c>
      <c r="AI224">
        <v>37</v>
      </c>
      <c r="AJ224">
        <v>0</v>
      </c>
      <c r="AK224">
        <v>6</v>
      </c>
      <c r="AL224" t="s">
        <v>2232</v>
      </c>
      <c r="AM224" t="s">
        <v>256</v>
      </c>
      <c r="AN224" t="s">
        <v>2233</v>
      </c>
      <c r="AO224" t="s">
        <v>3702</v>
      </c>
      <c r="AP224" t="s">
        <v>3703</v>
      </c>
      <c r="AQ224" t="s">
        <v>74</v>
      </c>
      <c r="AR224" t="s">
        <v>3704</v>
      </c>
      <c r="AS224" t="s">
        <v>3705</v>
      </c>
      <c r="AT224" t="s">
        <v>2847</v>
      </c>
      <c r="AU224">
        <v>2005</v>
      </c>
      <c r="AV224">
        <v>59</v>
      </c>
      <c r="AW224">
        <v>4</v>
      </c>
      <c r="AX224" t="s">
        <v>74</v>
      </c>
      <c r="AY224" t="s">
        <v>74</v>
      </c>
      <c r="AZ224" t="s">
        <v>74</v>
      </c>
      <c r="BA224" t="s">
        <v>74</v>
      </c>
      <c r="BB224">
        <v>381</v>
      </c>
      <c r="BC224">
        <v>390</v>
      </c>
      <c r="BD224" t="s">
        <v>74</v>
      </c>
      <c r="BE224" t="s">
        <v>3706</v>
      </c>
      <c r="BF224" t="str">
        <f>HYPERLINK("http://dx.doi.org/10.1016/j.marenvres.2004.06.003","http://dx.doi.org/10.1016/j.marenvres.2004.06.003")</f>
        <v>http://dx.doi.org/10.1016/j.marenvres.2004.06.003</v>
      </c>
      <c r="BG224" t="s">
        <v>74</v>
      </c>
      <c r="BH224" t="s">
        <v>74</v>
      </c>
      <c r="BI224">
        <v>10</v>
      </c>
      <c r="BJ224" t="s">
        <v>3707</v>
      </c>
      <c r="BK224" t="s">
        <v>95</v>
      </c>
      <c r="BL224" t="s">
        <v>3708</v>
      </c>
      <c r="BM224" t="s">
        <v>3709</v>
      </c>
      <c r="BN224">
        <v>15589988</v>
      </c>
      <c r="BO224" t="s">
        <v>74</v>
      </c>
      <c r="BP224" t="s">
        <v>74</v>
      </c>
      <c r="BQ224" t="s">
        <v>74</v>
      </c>
      <c r="BR224" t="s">
        <v>97</v>
      </c>
      <c r="BS224" t="s">
        <v>3710</v>
      </c>
      <c r="BT224" t="str">
        <f>HYPERLINK("https%3A%2F%2Fwww.webofscience.com%2Fwos%2Fwoscc%2Ffull-record%2FWOS:000226354600007","View Full Record in Web of Science")</f>
        <v>View Full Record in Web of Science</v>
      </c>
    </row>
    <row r="225" spans="1:72" x14ac:dyDescent="0.15">
      <c r="A225" t="s">
        <v>72</v>
      </c>
      <c r="B225" t="s">
        <v>3711</v>
      </c>
      <c r="C225" t="s">
        <v>74</v>
      </c>
      <c r="D225" t="s">
        <v>74</v>
      </c>
      <c r="E225" t="s">
        <v>74</v>
      </c>
      <c r="F225" t="s">
        <v>3711</v>
      </c>
      <c r="G225" t="s">
        <v>74</v>
      </c>
      <c r="H225" t="s">
        <v>74</v>
      </c>
      <c r="I225" t="s">
        <v>3712</v>
      </c>
      <c r="J225" t="s">
        <v>3713</v>
      </c>
      <c r="K225" t="s">
        <v>74</v>
      </c>
      <c r="L225" t="s">
        <v>74</v>
      </c>
      <c r="M225" t="s">
        <v>77</v>
      </c>
      <c r="N225" t="s">
        <v>78</v>
      </c>
      <c r="O225" t="s">
        <v>74</v>
      </c>
      <c r="P225" t="s">
        <v>74</v>
      </c>
      <c r="Q225" t="s">
        <v>74</v>
      </c>
      <c r="R225" t="s">
        <v>74</v>
      </c>
      <c r="S225" t="s">
        <v>74</v>
      </c>
      <c r="T225" t="s">
        <v>3714</v>
      </c>
      <c r="U225" t="s">
        <v>3715</v>
      </c>
      <c r="V225" t="s">
        <v>3716</v>
      </c>
      <c r="W225" t="s">
        <v>3357</v>
      </c>
      <c r="X225" t="s">
        <v>128</v>
      </c>
      <c r="Y225" t="s">
        <v>3717</v>
      </c>
      <c r="Z225" t="s">
        <v>3718</v>
      </c>
      <c r="AA225" t="s">
        <v>3719</v>
      </c>
      <c r="AB225" t="s">
        <v>3720</v>
      </c>
      <c r="AC225" t="s">
        <v>74</v>
      </c>
      <c r="AD225" t="s">
        <v>74</v>
      </c>
      <c r="AE225" t="s">
        <v>74</v>
      </c>
      <c r="AF225" t="s">
        <v>74</v>
      </c>
      <c r="AG225">
        <v>87</v>
      </c>
      <c r="AH225">
        <v>73</v>
      </c>
      <c r="AI225">
        <v>75</v>
      </c>
      <c r="AJ225">
        <v>1</v>
      </c>
      <c r="AK225">
        <v>5</v>
      </c>
      <c r="AL225" t="s">
        <v>3721</v>
      </c>
      <c r="AM225" t="s">
        <v>3722</v>
      </c>
      <c r="AN225" t="s">
        <v>3723</v>
      </c>
      <c r="AO225" t="s">
        <v>3724</v>
      </c>
      <c r="AP225" t="s">
        <v>3725</v>
      </c>
      <c r="AQ225" t="s">
        <v>74</v>
      </c>
      <c r="AR225" t="s">
        <v>3726</v>
      </c>
      <c r="AS225" t="s">
        <v>3727</v>
      </c>
      <c r="AT225" t="s">
        <v>2847</v>
      </c>
      <c r="AU225">
        <v>2005</v>
      </c>
      <c r="AV225">
        <v>126</v>
      </c>
      <c r="AW225">
        <v>5</v>
      </c>
      <c r="AX225" t="s">
        <v>74</v>
      </c>
      <c r="AY225" t="s">
        <v>74</v>
      </c>
      <c r="AZ225" t="s">
        <v>74</v>
      </c>
      <c r="BA225" t="s">
        <v>74</v>
      </c>
      <c r="BB225">
        <v>598</v>
      </c>
      <c r="BC225">
        <v>609</v>
      </c>
      <c r="BD225" t="s">
        <v>74</v>
      </c>
      <c r="BE225" t="s">
        <v>3728</v>
      </c>
      <c r="BF225" t="str">
        <f>HYPERLINK("http://dx.doi.org/10.1016/j.mad.2004.12.003","http://dx.doi.org/10.1016/j.mad.2004.12.003")</f>
        <v>http://dx.doi.org/10.1016/j.mad.2004.12.003</v>
      </c>
      <c r="BG225" t="s">
        <v>74</v>
      </c>
      <c r="BH225" t="s">
        <v>74</v>
      </c>
      <c r="BI225">
        <v>12</v>
      </c>
      <c r="BJ225" t="s">
        <v>3729</v>
      </c>
      <c r="BK225" t="s">
        <v>95</v>
      </c>
      <c r="BL225" t="s">
        <v>3729</v>
      </c>
      <c r="BM225" t="s">
        <v>3730</v>
      </c>
      <c r="BN225">
        <v>15811429</v>
      </c>
      <c r="BO225" t="s">
        <v>143</v>
      </c>
      <c r="BP225" t="s">
        <v>74</v>
      </c>
      <c r="BQ225" t="s">
        <v>74</v>
      </c>
      <c r="BR225" t="s">
        <v>97</v>
      </c>
      <c r="BS225" t="s">
        <v>3731</v>
      </c>
      <c r="BT225" t="str">
        <f>HYPERLINK("https%3A%2F%2Fwww.webofscience.com%2Fwos%2Fwoscc%2Ffull-record%2FWOS:000228681600008","View Full Record in Web of Science")</f>
        <v>View Full Record in Web of Science</v>
      </c>
    </row>
    <row r="226" spans="1:72" x14ac:dyDescent="0.15">
      <c r="A226" t="s">
        <v>72</v>
      </c>
      <c r="B226" t="s">
        <v>3732</v>
      </c>
      <c r="C226" t="s">
        <v>74</v>
      </c>
      <c r="D226" t="s">
        <v>74</v>
      </c>
      <c r="E226" t="s">
        <v>74</v>
      </c>
      <c r="F226" t="s">
        <v>3732</v>
      </c>
      <c r="G226" t="s">
        <v>74</v>
      </c>
      <c r="H226" t="s">
        <v>74</v>
      </c>
      <c r="I226" t="s">
        <v>3733</v>
      </c>
      <c r="J226" t="s">
        <v>3713</v>
      </c>
      <c r="K226" t="s">
        <v>74</v>
      </c>
      <c r="L226" t="s">
        <v>74</v>
      </c>
      <c r="M226" t="s">
        <v>77</v>
      </c>
      <c r="N226" t="s">
        <v>78</v>
      </c>
      <c r="O226" t="s">
        <v>74</v>
      </c>
      <c r="P226" t="s">
        <v>74</v>
      </c>
      <c r="Q226" t="s">
        <v>74</v>
      </c>
      <c r="R226" t="s">
        <v>74</v>
      </c>
      <c r="S226" t="s">
        <v>74</v>
      </c>
      <c r="T226" t="s">
        <v>3734</v>
      </c>
      <c r="U226" t="s">
        <v>3735</v>
      </c>
      <c r="V226" t="s">
        <v>3736</v>
      </c>
      <c r="W226" t="s">
        <v>3357</v>
      </c>
      <c r="X226" t="s">
        <v>128</v>
      </c>
      <c r="Y226" t="s">
        <v>3737</v>
      </c>
      <c r="Z226" t="s">
        <v>3718</v>
      </c>
      <c r="AA226" t="s">
        <v>3738</v>
      </c>
      <c r="AB226" t="s">
        <v>3739</v>
      </c>
      <c r="AC226" t="s">
        <v>74</v>
      </c>
      <c r="AD226" t="s">
        <v>74</v>
      </c>
      <c r="AE226" t="s">
        <v>74</v>
      </c>
      <c r="AF226" t="s">
        <v>74</v>
      </c>
      <c r="AG226">
        <v>63</v>
      </c>
      <c r="AH226">
        <v>51</v>
      </c>
      <c r="AI226">
        <v>55</v>
      </c>
      <c r="AJ226">
        <v>0</v>
      </c>
      <c r="AK226">
        <v>8</v>
      </c>
      <c r="AL226" t="s">
        <v>3721</v>
      </c>
      <c r="AM226" t="s">
        <v>3722</v>
      </c>
      <c r="AN226" t="s">
        <v>3723</v>
      </c>
      <c r="AO226" t="s">
        <v>3724</v>
      </c>
      <c r="AP226" t="s">
        <v>3725</v>
      </c>
      <c r="AQ226" t="s">
        <v>74</v>
      </c>
      <c r="AR226" t="s">
        <v>3726</v>
      </c>
      <c r="AS226" t="s">
        <v>3727</v>
      </c>
      <c r="AT226" t="s">
        <v>2847</v>
      </c>
      <c r="AU226">
        <v>2005</v>
      </c>
      <c r="AV226">
        <v>126</v>
      </c>
      <c r="AW226">
        <v>5</v>
      </c>
      <c r="AX226" t="s">
        <v>74</v>
      </c>
      <c r="AY226" t="s">
        <v>74</v>
      </c>
      <c r="AZ226" t="s">
        <v>74</v>
      </c>
      <c r="BA226" t="s">
        <v>74</v>
      </c>
      <c r="BB226">
        <v>610</v>
      </c>
      <c r="BC226">
        <v>619</v>
      </c>
      <c r="BD226" t="s">
        <v>74</v>
      </c>
      <c r="BE226" t="s">
        <v>3740</v>
      </c>
      <c r="BF226" t="str">
        <f>HYPERLINK("http://dx.doi.org/10.1016/j.mad.2005.02.002","http://dx.doi.org/10.1016/j.mad.2005.02.002")</f>
        <v>http://dx.doi.org/10.1016/j.mad.2005.02.002</v>
      </c>
      <c r="BG226" t="s">
        <v>74</v>
      </c>
      <c r="BH226" t="s">
        <v>74</v>
      </c>
      <c r="BI226">
        <v>10</v>
      </c>
      <c r="BJ226" t="s">
        <v>3729</v>
      </c>
      <c r="BK226" t="s">
        <v>95</v>
      </c>
      <c r="BL226" t="s">
        <v>3729</v>
      </c>
      <c r="BM226" t="s">
        <v>3730</v>
      </c>
      <c r="BN226">
        <v>15811430</v>
      </c>
      <c r="BO226" t="s">
        <v>143</v>
      </c>
      <c r="BP226" t="s">
        <v>74</v>
      </c>
      <c r="BQ226" t="s">
        <v>74</v>
      </c>
      <c r="BR226" t="s">
        <v>97</v>
      </c>
      <c r="BS226" t="s">
        <v>3741</v>
      </c>
      <c r="BT226" t="str">
        <f>HYPERLINK("https%3A%2F%2Fwww.webofscience.com%2Fwos%2Fwoscc%2Ffull-record%2FWOS:000228681600009","View Full Record in Web of Science")</f>
        <v>View Full Record in Web of Science</v>
      </c>
    </row>
    <row r="227" spans="1:72" x14ac:dyDescent="0.15">
      <c r="A227" t="s">
        <v>72</v>
      </c>
      <c r="B227" t="s">
        <v>3742</v>
      </c>
      <c r="C227" t="s">
        <v>74</v>
      </c>
      <c r="D227" t="s">
        <v>74</v>
      </c>
      <c r="E227" t="s">
        <v>74</v>
      </c>
      <c r="F227" t="s">
        <v>3742</v>
      </c>
      <c r="G227" t="s">
        <v>74</v>
      </c>
      <c r="H227" t="s">
        <v>74</v>
      </c>
      <c r="I227" t="s">
        <v>3743</v>
      </c>
      <c r="J227" t="s">
        <v>2056</v>
      </c>
      <c r="K227" t="s">
        <v>74</v>
      </c>
      <c r="L227" t="s">
        <v>74</v>
      </c>
      <c r="M227" t="s">
        <v>77</v>
      </c>
      <c r="N227" t="s">
        <v>78</v>
      </c>
      <c r="O227" t="s">
        <v>74</v>
      </c>
      <c r="P227" t="s">
        <v>74</v>
      </c>
      <c r="Q227" t="s">
        <v>74</v>
      </c>
      <c r="R227" t="s">
        <v>74</v>
      </c>
      <c r="S227" t="s">
        <v>74</v>
      </c>
      <c r="T227" t="s">
        <v>74</v>
      </c>
      <c r="U227" t="s">
        <v>3744</v>
      </c>
      <c r="V227" t="s">
        <v>3745</v>
      </c>
      <c r="W227" t="s">
        <v>3746</v>
      </c>
      <c r="X227" t="s">
        <v>3747</v>
      </c>
      <c r="Y227" t="s">
        <v>3748</v>
      </c>
      <c r="Z227" t="s">
        <v>3749</v>
      </c>
      <c r="AA227" t="s">
        <v>3750</v>
      </c>
      <c r="AB227" t="s">
        <v>3751</v>
      </c>
      <c r="AC227" t="s">
        <v>74</v>
      </c>
      <c r="AD227" t="s">
        <v>74</v>
      </c>
      <c r="AE227" t="s">
        <v>74</v>
      </c>
      <c r="AF227" t="s">
        <v>74</v>
      </c>
      <c r="AG227">
        <v>50</v>
      </c>
      <c r="AH227">
        <v>40</v>
      </c>
      <c r="AI227">
        <v>40</v>
      </c>
      <c r="AJ227">
        <v>0</v>
      </c>
      <c r="AK227">
        <v>10</v>
      </c>
      <c r="AL227" t="s">
        <v>3752</v>
      </c>
      <c r="AM227" t="s">
        <v>1852</v>
      </c>
      <c r="AN227" t="s">
        <v>1853</v>
      </c>
      <c r="AO227" t="s">
        <v>2063</v>
      </c>
      <c r="AP227" t="s">
        <v>74</v>
      </c>
      <c r="AQ227" t="s">
        <v>74</v>
      </c>
      <c r="AR227" t="s">
        <v>2065</v>
      </c>
      <c r="AS227" t="s">
        <v>2066</v>
      </c>
      <c r="AT227" t="s">
        <v>2847</v>
      </c>
      <c r="AU227">
        <v>2005</v>
      </c>
      <c r="AV227">
        <v>40</v>
      </c>
      <c r="AW227">
        <v>5</v>
      </c>
      <c r="AX227" t="s">
        <v>74</v>
      </c>
      <c r="AY227" t="s">
        <v>74</v>
      </c>
      <c r="AZ227" t="s">
        <v>74</v>
      </c>
      <c r="BA227" t="s">
        <v>74</v>
      </c>
      <c r="BB227">
        <v>779</v>
      </c>
      <c r="BC227">
        <v>787</v>
      </c>
      <c r="BD227" t="s">
        <v>74</v>
      </c>
      <c r="BE227" t="s">
        <v>3753</v>
      </c>
      <c r="BF227" t="str">
        <f>HYPERLINK("http://dx.doi.org/10.1111/j.1945-5100.2005.tb00979.x","http://dx.doi.org/10.1111/j.1945-5100.2005.tb00979.x")</f>
        <v>http://dx.doi.org/10.1111/j.1945-5100.2005.tb00979.x</v>
      </c>
      <c r="BG227" t="s">
        <v>74</v>
      </c>
      <c r="BH227" t="s">
        <v>74</v>
      </c>
      <c r="BI227">
        <v>9</v>
      </c>
      <c r="BJ227" t="s">
        <v>381</v>
      </c>
      <c r="BK227" t="s">
        <v>95</v>
      </c>
      <c r="BL227" t="s">
        <v>381</v>
      </c>
      <c r="BM227" t="s">
        <v>3754</v>
      </c>
      <c r="BN227" t="s">
        <v>74</v>
      </c>
      <c r="BO227" t="s">
        <v>539</v>
      </c>
      <c r="BP227" t="s">
        <v>74</v>
      </c>
      <c r="BQ227" t="s">
        <v>74</v>
      </c>
      <c r="BR227" t="s">
        <v>97</v>
      </c>
      <c r="BS227" t="s">
        <v>3755</v>
      </c>
      <c r="BT227" t="str">
        <f>HYPERLINK("https%3A%2F%2Fwww.webofscience.com%2Fwos%2Fwoscc%2Ffull-record%2FWOS:000231040700009","View Full Record in Web of Science")</f>
        <v>View Full Record in Web of Science</v>
      </c>
    </row>
    <row r="228" spans="1:72" x14ac:dyDescent="0.15">
      <c r="A228" t="s">
        <v>72</v>
      </c>
      <c r="B228" t="s">
        <v>3756</v>
      </c>
      <c r="C228" t="s">
        <v>74</v>
      </c>
      <c r="D228" t="s">
        <v>74</v>
      </c>
      <c r="E228" t="s">
        <v>74</v>
      </c>
      <c r="F228" t="s">
        <v>3756</v>
      </c>
      <c r="G228" t="s">
        <v>74</v>
      </c>
      <c r="H228" t="s">
        <v>74</v>
      </c>
      <c r="I228" t="s">
        <v>3757</v>
      </c>
      <c r="J228" t="s">
        <v>3758</v>
      </c>
      <c r="K228" t="s">
        <v>74</v>
      </c>
      <c r="L228" t="s">
        <v>74</v>
      </c>
      <c r="M228" t="s">
        <v>77</v>
      </c>
      <c r="N228" t="s">
        <v>78</v>
      </c>
      <c r="O228" t="s">
        <v>74</v>
      </c>
      <c r="P228" t="s">
        <v>74</v>
      </c>
      <c r="Q228" t="s">
        <v>74</v>
      </c>
      <c r="R228" t="s">
        <v>74</v>
      </c>
      <c r="S228" t="s">
        <v>74</v>
      </c>
      <c r="T228" t="s">
        <v>74</v>
      </c>
      <c r="U228" t="s">
        <v>3759</v>
      </c>
      <c r="V228" t="s">
        <v>3760</v>
      </c>
      <c r="W228" t="s">
        <v>3761</v>
      </c>
      <c r="X228" t="s">
        <v>3762</v>
      </c>
      <c r="Y228" t="s">
        <v>3763</v>
      </c>
      <c r="Z228" t="s">
        <v>3764</v>
      </c>
      <c r="AA228" t="s">
        <v>74</v>
      </c>
      <c r="AB228" t="s">
        <v>74</v>
      </c>
      <c r="AC228" t="s">
        <v>74</v>
      </c>
      <c r="AD228" t="s">
        <v>74</v>
      </c>
      <c r="AE228" t="s">
        <v>74</v>
      </c>
      <c r="AF228" t="s">
        <v>74</v>
      </c>
      <c r="AG228">
        <v>43</v>
      </c>
      <c r="AH228">
        <v>17</v>
      </c>
      <c r="AI228">
        <v>19</v>
      </c>
      <c r="AJ228">
        <v>0</v>
      </c>
      <c r="AK228">
        <v>17</v>
      </c>
      <c r="AL228" t="s">
        <v>133</v>
      </c>
      <c r="AM228" t="s">
        <v>134</v>
      </c>
      <c r="AN228" t="s">
        <v>135</v>
      </c>
      <c r="AO228" t="s">
        <v>3765</v>
      </c>
      <c r="AP228" t="s">
        <v>74</v>
      </c>
      <c r="AQ228" t="s">
        <v>74</v>
      </c>
      <c r="AR228" t="s">
        <v>3766</v>
      </c>
      <c r="AS228" t="s">
        <v>3767</v>
      </c>
      <c r="AT228" t="s">
        <v>2847</v>
      </c>
      <c r="AU228">
        <v>2005</v>
      </c>
      <c r="AV228">
        <v>49</v>
      </c>
      <c r="AW228">
        <v>4</v>
      </c>
      <c r="AX228" t="s">
        <v>74</v>
      </c>
      <c r="AY228" t="s">
        <v>74</v>
      </c>
      <c r="AZ228" t="s">
        <v>74</v>
      </c>
      <c r="BA228" t="s">
        <v>74</v>
      </c>
      <c r="BB228">
        <v>523</v>
      </c>
      <c r="BC228">
        <v>527</v>
      </c>
      <c r="BD228" t="s">
        <v>74</v>
      </c>
      <c r="BE228" t="s">
        <v>3768</v>
      </c>
      <c r="BF228" t="str">
        <f>HYPERLINK("http://dx.doi.org/10.1007/s00248-005-3680-4","http://dx.doi.org/10.1007/s00248-005-3680-4")</f>
        <v>http://dx.doi.org/10.1007/s00248-005-3680-4</v>
      </c>
      <c r="BG228" t="s">
        <v>74</v>
      </c>
      <c r="BH228" t="s">
        <v>74</v>
      </c>
      <c r="BI228">
        <v>5</v>
      </c>
      <c r="BJ228" t="s">
        <v>3769</v>
      </c>
      <c r="BK228" t="s">
        <v>95</v>
      </c>
      <c r="BL228" t="s">
        <v>3770</v>
      </c>
      <c r="BM228" t="s">
        <v>3771</v>
      </c>
      <c r="BN228">
        <v>15891938</v>
      </c>
      <c r="BO228" t="s">
        <v>74</v>
      </c>
      <c r="BP228" t="s">
        <v>74</v>
      </c>
      <c r="BQ228" t="s">
        <v>74</v>
      </c>
      <c r="BR228" t="s">
        <v>97</v>
      </c>
      <c r="BS228" t="s">
        <v>3772</v>
      </c>
      <c r="BT228" t="str">
        <f>HYPERLINK("https%3A%2F%2Fwww.webofscience.com%2Fwos%2Fwoscc%2Ffull-record%2FWOS:000231704600004","View Full Record in Web of Science")</f>
        <v>View Full Record in Web of Science</v>
      </c>
    </row>
    <row r="229" spans="1:72" x14ac:dyDescent="0.15">
      <c r="A229" t="s">
        <v>72</v>
      </c>
      <c r="B229" t="s">
        <v>3773</v>
      </c>
      <c r="C229" t="s">
        <v>74</v>
      </c>
      <c r="D229" t="s">
        <v>74</v>
      </c>
      <c r="E229" t="s">
        <v>74</v>
      </c>
      <c r="F229" t="s">
        <v>3773</v>
      </c>
      <c r="G229" t="s">
        <v>74</v>
      </c>
      <c r="H229" t="s">
        <v>74</v>
      </c>
      <c r="I229" t="s">
        <v>3774</v>
      </c>
      <c r="J229" t="s">
        <v>3758</v>
      </c>
      <c r="K229" t="s">
        <v>74</v>
      </c>
      <c r="L229" t="s">
        <v>74</v>
      </c>
      <c r="M229" t="s">
        <v>77</v>
      </c>
      <c r="N229" t="s">
        <v>78</v>
      </c>
      <c r="O229" t="s">
        <v>74</v>
      </c>
      <c r="P229" t="s">
        <v>74</v>
      </c>
      <c r="Q229" t="s">
        <v>74</v>
      </c>
      <c r="R229" t="s">
        <v>74</v>
      </c>
      <c r="S229" t="s">
        <v>74</v>
      </c>
      <c r="T229" t="s">
        <v>74</v>
      </c>
      <c r="U229" t="s">
        <v>3775</v>
      </c>
      <c r="V229" t="s">
        <v>3776</v>
      </c>
      <c r="W229" t="s">
        <v>3777</v>
      </c>
      <c r="X229" t="s">
        <v>3778</v>
      </c>
      <c r="Y229" t="s">
        <v>3779</v>
      </c>
      <c r="Z229" t="s">
        <v>3780</v>
      </c>
      <c r="AA229" t="s">
        <v>3781</v>
      </c>
      <c r="AB229" t="s">
        <v>3782</v>
      </c>
      <c r="AC229" t="s">
        <v>74</v>
      </c>
      <c r="AD229" t="s">
        <v>74</v>
      </c>
      <c r="AE229" t="s">
        <v>74</v>
      </c>
      <c r="AF229" t="s">
        <v>74</v>
      </c>
      <c r="AG229">
        <v>70</v>
      </c>
      <c r="AH229">
        <v>134</v>
      </c>
      <c r="AI229">
        <v>145</v>
      </c>
      <c r="AJ229">
        <v>2</v>
      </c>
      <c r="AK229">
        <v>47</v>
      </c>
      <c r="AL229" t="s">
        <v>133</v>
      </c>
      <c r="AM229" t="s">
        <v>134</v>
      </c>
      <c r="AN229" t="s">
        <v>181</v>
      </c>
      <c r="AO229" t="s">
        <v>3765</v>
      </c>
      <c r="AP229" t="s">
        <v>3783</v>
      </c>
      <c r="AQ229" t="s">
        <v>74</v>
      </c>
      <c r="AR229" t="s">
        <v>3784</v>
      </c>
      <c r="AS229" t="s">
        <v>3767</v>
      </c>
      <c r="AT229" t="s">
        <v>2847</v>
      </c>
      <c r="AU229">
        <v>2005</v>
      </c>
      <c r="AV229">
        <v>49</v>
      </c>
      <c r="AW229">
        <v>4</v>
      </c>
      <c r="AX229" t="s">
        <v>74</v>
      </c>
      <c r="AY229" t="s">
        <v>74</v>
      </c>
      <c r="AZ229" t="s">
        <v>74</v>
      </c>
      <c r="BA229" t="s">
        <v>74</v>
      </c>
      <c r="BB229">
        <v>578</v>
      </c>
      <c r="BC229">
        <v>589</v>
      </c>
      <c r="BD229" t="s">
        <v>74</v>
      </c>
      <c r="BE229" t="s">
        <v>3785</v>
      </c>
      <c r="BF229" t="str">
        <f>HYPERLINK("http://dx.doi.org/10.1007/s00248-004-0093-8","http://dx.doi.org/10.1007/s00248-004-0093-8")</f>
        <v>http://dx.doi.org/10.1007/s00248-004-0093-8</v>
      </c>
      <c r="BG229" t="s">
        <v>74</v>
      </c>
      <c r="BH229" t="s">
        <v>74</v>
      </c>
      <c r="BI229">
        <v>12</v>
      </c>
      <c r="BJ229" t="s">
        <v>3769</v>
      </c>
      <c r="BK229" t="s">
        <v>95</v>
      </c>
      <c r="BL229" t="s">
        <v>3770</v>
      </c>
      <c r="BM229" t="s">
        <v>3771</v>
      </c>
      <c r="BN229">
        <v>16052372</v>
      </c>
      <c r="BO229" t="s">
        <v>74</v>
      </c>
      <c r="BP229" t="s">
        <v>74</v>
      </c>
      <c r="BQ229" t="s">
        <v>74</v>
      </c>
      <c r="BR229" t="s">
        <v>97</v>
      </c>
      <c r="BS229" t="s">
        <v>3786</v>
      </c>
      <c r="BT229" t="str">
        <f>HYPERLINK("https%3A%2F%2Fwww.webofscience.com%2Fwos%2Fwoscc%2Ffull-record%2FWOS:000231704600010","View Full Record in Web of Science")</f>
        <v>View Full Record in Web of Science</v>
      </c>
    </row>
    <row r="230" spans="1:72" x14ac:dyDescent="0.15">
      <c r="A230" t="s">
        <v>72</v>
      </c>
      <c r="B230" t="s">
        <v>3787</v>
      </c>
      <c r="C230" t="s">
        <v>74</v>
      </c>
      <c r="D230" t="s">
        <v>74</v>
      </c>
      <c r="E230" t="s">
        <v>74</v>
      </c>
      <c r="F230" t="s">
        <v>3787</v>
      </c>
      <c r="G230" t="s">
        <v>74</v>
      </c>
      <c r="H230" t="s">
        <v>74</v>
      </c>
      <c r="I230" t="s">
        <v>3788</v>
      </c>
      <c r="J230" t="s">
        <v>3789</v>
      </c>
      <c r="K230" t="s">
        <v>74</v>
      </c>
      <c r="L230" t="s">
        <v>74</v>
      </c>
      <c r="M230" t="s">
        <v>77</v>
      </c>
      <c r="N230" t="s">
        <v>78</v>
      </c>
      <c r="O230" t="s">
        <v>74</v>
      </c>
      <c r="P230" t="s">
        <v>74</v>
      </c>
      <c r="Q230" t="s">
        <v>74</v>
      </c>
      <c r="R230" t="s">
        <v>74</v>
      </c>
      <c r="S230" t="s">
        <v>74</v>
      </c>
      <c r="T230" t="s">
        <v>3790</v>
      </c>
      <c r="U230" t="s">
        <v>3791</v>
      </c>
      <c r="V230" t="s">
        <v>3792</v>
      </c>
      <c r="W230" t="s">
        <v>3793</v>
      </c>
      <c r="X230" t="s">
        <v>3794</v>
      </c>
      <c r="Y230" t="s">
        <v>3795</v>
      </c>
      <c r="Z230" t="s">
        <v>3796</v>
      </c>
      <c r="AA230" t="s">
        <v>3797</v>
      </c>
      <c r="AB230" t="s">
        <v>3798</v>
      </c>
      <c r="AC230" t="s">
        <v>74</v>
      </c>
      <c r="AD230" t="s">
        <v>74</v>
      </c>
      <c r="AE230" t="s">
        <v>74</v>
      </c>
      <c r="AF230" t="s">
        <v>74</v>
      </c>
      <c r="AG230">
        <v>44</v>
      </c>
      <c r="AH230">
        <v>203</v>
      </c>
      <c r="AI230">
        <v>247</v>
      </c>
      <c r="AJ230">
        <v>0</v>
      </c>
      <c r="AK230">
        <v>88</v>
      </c>
      <c r="AL230" t="s">
        <v>1610</v>
      </c>
      <c r="AM230" t="s">
        <v>256</v>
      </c>
      <c r="AN230" t="s">
        <v>1611</v>
      </c>
      <c r="AO230" t="s">
        <v>3799</v>
      </c>
      <c r="AP230" t="s">
        <v>74</v>
      </c>
      <c r="AQ230" t="s">
        <v>74</v>
      </c>
      <c r="AR230" t="s">
        <v>3800</v>
      </c>
      <c r="AS230" t="s">
        <v>3801</v>
      </c>
      <c r="AT230" t="s">
        <v>2847</v>
      </c>
      <c r="AU230">
        <v>2005</v>
      </c>
      <c r="AV230">
        <v>14</v>
      </c>
      <c r="AW230">
        <v>6</v>
      </c>
      <c r="AX230" t="s">
        <v>74</v>
      </c>
      <c r="AY230" t="s">
        <v>74</v>
      </c>
      <c r="AZ230" t="s">
        <v>74</v>
      </c>
      <c r="BA230" t="s">
        <v>74</v>
      </c>
      <c r="BB230">
        <v>1831</v>
      </c>
      <c r="BC230">
        <v>1842</v>
      </c>
      <c r="BD230" t="s">
        <v>74</v>
      </c>
      <c r="BE230" t="s">
        <v>3802</v>
      </c>
      <c r="BF230" t="str">
        <f>HYPERLINK("http://dx.doi.org/10.1111/j.1365-294X.2005.02531.x","http://dx.doi.org/10.1111/j.1365-294X.2005.02531.x")</f>
        <v>http://dx.doi.org/10.1111/j.1365-294X.2005.02531.x</v>
      </c>
      <c r="BG230" t="s">
        <v>74</v>
      </c>
      <c r="BH230" t="s">
        <v>74</v>
      </c>
      <c r="BI230">
        <v>12</v>
      </c>
      <c r="BJ230" t="s">
        <v>3803</v>
      </c>
      <c r="BK230" t="s">
        <v>95</v>
      </c>
      <c r="BL230" t="s">
        <v>3804</v>
      </c>
      <c r="BM230" t="s">
        <v>3805</v>
      </c>
      <c r="BN230">
        <v>15836654</v>
      </c>
      <c r="BO230" t="s">
        <v>74</v>
      </c>
      <c r="BP230" t="s">
        <v>74</v>
      </c>
      <c r="BQ230" t="s">
        <v>74</v>
      </c>
      <c r="BR230" t="s">
        <v>97</v>
      </c>
      <c r="BS230" t="s">
        <v>3806</v>
      </c>
      <c r="BT230" t="str">
        <f>HYPERLINK("https%3A%2F%2Fwww.webofscience.com%2Fwos%2Fwoscc%2Ffull-record%2FWOS:000228395900019","View Full Record in Web of Science")</f>
        <v>View Full Record in Web of Science</v>
      </c>
    </row>
    <row r="231" spans="1:72" x14ac:dyDescent="0.15">
      <c r="A231" t="s">
        <v>72</v>
      </c>
      <c r="B231" t="s">
        <v>3807</v>
      </c>
      <c r="C231" t="s">
        <v>74</v>
      </c>
      <c r="D231" t="s">
        <v>74</v>
      </c>
      <c r="E231" t="s">
        <v>74</v>
      </c>
      <c r="F231" t="s">
        <v>3807</v>
      </c>
      <c r="G231" t="s">
        <v>74</v>
      </c>
      <c r="H231" t="s">
        <v>74</v>
      </c>
      <c r="I231" t="s">
        <v>3808</v>
      </c>
      <c r="J231" t="s">
        <v>3809</v>
      </c>
      <c r="K231" t="s">
        <v>74</v>
      </c>
      <c r="L231" t="s">
        <v>74</v>
      </c>
      <c r="M231" t="s">
        <v>77</v>
      </c>
      <c r="N231" t="s">
        <v>78</v>
      </c>
      <c r="O231" t="s">
        <v>74</v>
      </c>
      <c r="P231" t="s">
        <v>74</v>
      </c>
      <c r="Q231" t="s">
        <v>74</v>
      </c>
      <c r="R231" t="s">
        <v>74</v>
      </c>
      <c r="S231" t="s">
        <v>74</v>
      </c>
      <c r="T231" t="s">
        <v>74</v>
      </c>
      <c r="U231" t="s">
        <v>3810</v>
      </c>
      <c r="V231" t="s">
        <v>3811</v>
      </c>
      <c r="W231" t="s">
        <v>3812</v>
      </c>
      <c r="X231" t="s">
        <v>3813</v>
      </c>
      <c r="Y231" t="s">
        <v>3814</v>
      </c>
      <c r="Z231" t="s">
        <v>706</v>
      </c>
      <c r="AA231" t="s">
        <v>3815</v>
      </c>
      <c r="AB231" t="s">
        <v>3816</v>
      </c>
      <c r="AC231" t="s">
        <v>74</v>
      </c>
      <c r="AD231" t="s">
        <v>74</v>
      </c>
      <c r="AE231" t="s">
        <v>74</v>
      </c>
      <c r="AF231" t="s">
        <v>74</v>
      </c>
      <c r="AG231">
        <v>47</v>
      </c>
      <c r="AH231">
        <v>39</v>
      </c>
      <c r="AI231">
        <v>39</v>
      </c>
      <c r="AJ231">
        <v>0</v>
      </c>
      <c r="AK231">
        <v>2</v>
      </c>
      <c r="AL231" t="s">
        <v>902</v>
      </c>
      <c r="AM231" t="s">
        <v>903</v>
      </c>
      <c r="AN231" t="s">
        <v>922</v>
      </c>
      <c r="AO231" t="s">
        <v>3817</v>
      </c>
      <c r="AP231" t="s">
        <v>3818</v>
      </c>
      <c r="AQ231" t="s">
        <v>74</v>
      </c>
      <c r="AR231" t="s">
        <v>3819</v>
      </c>
      <c r="AS231" t="s">
        <v>3820</v>
      </c>
      <c r="AT231" t="s">
        <v>2847</v>
      </c>
      <c r="AU231">
        <v>2005</v>
      </c>
      <c r="AV231">
        <v>133</v>
      </c>
      <c r="AW231">
        <v>5</v>
      </c>
      <c r="AX231" t="s">
        <v>74</v>
      </c>
      <c r="AY231" t="s">
        <v>74</v>
      </c>
      <c r="AZ231" t="s">
        <v>74</v>
      </c>
      <c r="BA231" t="s">
        <v>74</v>
      </c>
      <c r="BB231">
        <v>1261</v>
      </c>
      <c r="BC231">
        <v>1278</v>
      </c>
      <c r="BD231" t="s">
        <v>74</v>
      </c>
      <c r="BE231" t="s">
        <v>3821</v>
      </c>
      <c r="BF231" t="str">
        <f>HYPERLINK("http://dx.doi.org/10.1175/MWR2926.1","http://dx.doi.org/10.1175/MWR2926.1")</f>
        <v>http://dx.doi.org/10.1175/MWR2926.1</v>
      </c>
      <c r="BG231" t="s">
        <v>74</v>
      </c>
      <c r="BH231" t="s">
        <v>74</v>
      </c>
      <c r="BI231">
        <v>18</v>
      </c>
      <c r="BJ231" t="s">
        <v>401</v>
      </c>
      <c r="BK231" t="s">
        <v>95</v>
      </c>
      <c r="BL231" t="s">
        <v>401</v>
      </c>
      <c r="BM231" t="s">
        <v>3822</v>
      </c>
      <c r="BN231" t="s">
        <v>74</v>
      </c>
      <c r="BO231" t="s">
        <v>539</v>
      </c>
      <c r="BP231" t="s">
        <v>74</v>
      </c>
      <c r="BQ231" t="s">
        <v>74</v>
      </c>
      <c r="BR231" t="s">
        <v>97</v>
      </c>
      <c r="BS231" t="s">
        <v>3823</v>
      </c>
      <c r="BT231" t="str">
        <f>HYPERLINK("https%3A%2F%2Fwww.webofscience.com%2Fwos%2Fwoscc%2Ffull-record%2FWOS:000229392900013","View Full Record in Web of Science")</f>
        <v>View Full Record in Web of Science</v>
      </c>
    </row>
    <row r="232" spans="1:72" x14ac:dyDescent="0.15">
      <c r="A232" t="s">
        <v>72</v>
      </c>
      <c r="B232" t="s">
        <v>3824</v>
      </c>
      <c r="C232" t="s">
        <v>74</v>
      </c>
      <c r="D232" t="s">
        <v>74</v>
      </c>
      <c r="E232" t="s">
        <v>74</v>
      </c>
      <c r="F232" t="s">
        <v>3824</v>
      </c>
      <c r="G232" t="s">
        <v>74</v>
      </c>
      <c r="H232" t="s">
        <v>74</v>
      </c>
      <c r="I232" t="s">
        <v>3825</v>
      </c>
      <c r="J232" t="s">
        <v>3826</v>
      </c>
      <c r="K232" t="s">
        <v>74</v>
      </c>
      <c r="L232" t="s">
        <v>74</v>
      </c>
      <c r="M232" t="s">
        <v>77</v>
      </c>
      <c r="N232" t="s">
        <v>78</v>
      </c>
      <c r="O232" t="s">
        <v>74</v>
      </c>
      <c r="P232" t="s">
        <v>74</v>
      </c>
      <c r="Q232" t="s">
        <v>74</v>
      </c>
      <c r="R232" t="s">
        <v>74</v>
      </c>
      <c r="S232" t="s">
        <v>74</v>
      </c>
      <c r="T232" t="s">
        <v>74</v>
      </c>
      <c r="U232" t="s">
        <v>3827</v>
      </c>
      <c r="V232" t="s">
        <v>3828</v>
      </c>
      <c r="W232" t="s">
        <v>3829</v>
      </c>
      <c r="X232" t="s">
        <v>3830</v>
      </c>
      <c r="Y232" t="s">
        <v>3831</v>
      </c>
      <c r="Z232" t="s">
        <v>74</v>
      </c>
      <c r="AA232" t="s">
        <v>74</v>
      </c>
      <c r="AB232" t="s">
        <v>74</v>
      </c>
      <c r="AC232" t="s">
        <v>74</v>
      </c>
      <c r="AD232" t="s">
        <v>74</v>
      </c>
      <c r="AE232" t="s">
        <v>74</v>
      </c>
      <c r="AF232" t="s">
        <v>74</v>
      </c>
      <c r="AG232">
        <v>42</v>
      </c>
      <c r="AH232">
        <v>2</v>
      </c>
      <c r="AI232">
        <v>2</v>
      </c>
      <c r="AJ232">
        <v>0</v>
      </c>
      <c r="AK232">
        <v>9</v>
      </c>
      <c r="AL232" t="s">
        <v>3227</v>
      </c>
      <c r="AM232" t="s">
        <v>134</v>
      </c>
      <c r="AN232" t="s">
        <v>3228</v>
      </c>
      <c r="AO232" t="s">
        <v>3832</v>
      </c>
      <c r="AP232" t="s">
        <v>3833</v>
      </c>
      <c r="AQ232" t="s">
        <v>74</v>
      </c>
      <c r="AR232" t="s">
        <v>3834</v>
      </c>
      <c r="AS232" t="s">
        <v>3835</v>
      </c>
      <c r="AT232" t="s">
        <v>2826</v>
      </c>
      <c r="AU232">
        <v>2005</v>
      </c>
      <c r="AV232">
        <v>45</v>
      </c>
      <c r="AW232">
        <v>3</v>
      </c>
      <c r="AX232" t="s">
        <v>74</v>
      </c>
      <c r="AY232" t="s">
        <v>74</v>
      </c>
      <c r="AZ232" t="s">
        <v>74</v>
      </c>
      <c r="BA232" t="s">
        <v>74</v>
      </c>
      <c r="BB232">
        <v>368</v>
      </c>
      <c r="BC232">
        <v>375</v>
      </c>
      <c r="BD232" t="s">
        <v>74</v>
      </c>
      <c r="BE232" t="s">
        <v>74</v>
      </c>
      <c r="BF232" t="s">
        <v>74</v>
      </c>
      <c r="BG232" t="s">
        <v>74</v>
      </c>
      <c r="BH232" t="s">
        <v>74</v>
      </c>
      <c r="BI232">
        <v>8</v>
      </c>
      <c r="BJ232" t="s">
        <v>632</v>
      </c>
      <c r="BK232" t="s">
        <v>95</v>
      </c>
      <c r="BL232" t="s">
        <v>632</v>
      </c>
      <c r="BM232" t="s">
        <v>3836</v>
      </c>
      <c r="BN232" t="s">
        <v>74</v>
      </c>
      <c r="BO232" t="s">
        <v>74</v>
      </c>
      <c r="BP232" t="s">
        <v>74</v>
      </c>
      <c r="BQ232" t="s">
        <v>74</v>
      </c>
      <c r="BR232" t="s">
        <v>97</v>
      </c>
      <c r="BS232" t="s">
        <v>3837</v>
      </c>
      <c r="BT232" t="str">
        <f>HYPERLINK("https%3A%2F%2Fwww.webofscience.com%2Fwos%2Fwoscc%2Ffull-record%2FWOS:000230931700009","View Full Record in Web of Science")</f>
        <v>View Full Record in Web of Science</v>
      </c>
    </row>
    <row r="233" spans="1:72" x14ac:dyDescent="0.15">
      <c r="A233" t="s">
        <v>72</v>
      </c>
      <c r="B233" t="s">
        <v>3838</v>
      </c>
      <c r="C233" t="s">
        <v>74</v>
      </c>
      <c r="D233" t="s">
        <v>74</v>
      </c>
      <c r="E233" t="s">
        <v>74</v>
      </c>
      <c r="F233" t="s">
        <v>3838</v>
      </c>
      <c r="G233" t="s">
        <v>74</v>
      </c>
      <c r="H233" t="s">
        <v>74</v>
      </c>
      <c r="I233" t="s">
        <v>3839</v>
      </c>
      <c r="J233" t="s">
        <v>3840</v>
      </c>
      <c r="K233" t="s">
        <v>74</v>
      </c>
      <c r="L233" t="s">
        <v>74</v>
      </c>
      <c r="M233" t="s">
        <v>77</v>
      </c>
      <c r="N233" t="s">
        <v>78</v>
      </c>
      <c r="O233" t="s">
        <v>74</v>
      </c>
      <c r="P233" t="s">
        <v>74</v>
      </c>
      <c r="Q233" t="s">
        <v>74</v>
      </c>
      <c r="R233" t="s">
        <v>74</v>
      </c>
      <c r="S233" t="s">
        <v>74</v>
      </c>
      <c r="T233" t="s">
        <v>74</v>
      </c>
      <c r="U233" t="s">
        <v>3841</v>
      </c>
      <c r="V233" t="s">
        <v>3842</v>
      </c>
      <c r="W233" t="s">
        <v>3843</v>
      </c>
      <c r="X233" t="s">
        <v>3844</v>
      </c>
      <c r="Y233" t="s">
        <v>3845</v>
      </c>
      <c r="Z233" t="s">
        <v>3846</v>
      </c>
      <c r="AA233" t="s">
        <v>74</v>
      </c>
      <c r="AB233" t="s">
        <v>74</v>
      </c>
      <c r="AC233" t="s">
        <v>74</v>
      </c>
      <c r="AD233" t="s">
        <v>74</v>
      </c>
      <c r="AE233" t="s">
        <v>74</v>
      </c>
      <c r="AF233" t="s">
        <v>74</v>
      </c>
      <c r="AG233">
        <v>10</v>
      </c>
      <c r="AH233">
        <v>6</v>
      </c>
      <c r="AI233">
        <v>6</v>
      </c>
      <c r="AJ233">
        <v>0</v>
      </c>
      <c r="AK233">
        <v>3</v>
      </c>
      <c r="AL233" t="s">
        <v>3847</v>
      </c>
      <c r="AM233" t="s">
        <v>3848</v>
      </c>
      <c r="AN233" t="s">
        <v>3849</v>
      </c>
      <c r="AO233" t="s">
        <v>3850</v>
      </c>
      <c r="AP233" t="s">
        <v>74</v>
      </c>
      <c r="AQ233" t="s">
        <v>74</v>
      </c>
      <c r="AR233" t="s">
        <v>3851</v>
      </c>
      <c r="AS233" t="s">
        <v>3852</v>
      </c>
      <c r="AT233" t="s">
        <v>2826</v>
      </c>
      <c r="AU233">
        <v>2005</v>
      </c>
      <c r="AV233">
        <v>81</v>
      </c>
      <c r="AW233">
        <v>3</v>
      </c>
      <c r="AX233" t="s">
        <v>74</v>
      </c>
      <c r="AY233" t="s">
        <v>74</v>
      </c>
      <c r="AZ233" t="s">
        <v>74</v>
      </c>
      <c r="BA233" t="s">
        <v>74</v>
      </c>
      <c r="BB233">
        <v>603</v>
      </c>
      <c r="BC233">
        <v>608</v>
      </c>
      <c r="BD233" t="s">
        <v>74</v>
      </c>
      <c r="BE233" t="s">
        <v>3853</v>
      </c>
      <c r="BF233" t="str">
        <f>HYPERLINK("http://dx.doi.org/10.1562/2004-05-17-RA-171.1","http://dx.doi.org/10.1562/2004-05-17-RA-171.1")</f>
        <v>http://dx.doi.org/10.1562/2004-05-17-RA-171.1</v>
      </c>
      <c r="BG233" t="s">
        <v>74</v>
      </c>
      <c r="BH233" t="s">
        <v>74</v>
      </c>
      <c r="BI233">
        <v>6</v>
      </c>
      <c r="BJ233" t="s">
        <v>3854</v>
      </c>
      <c r="BK233" t="s">
        <v>95</v>
      </c>
      <c r="BL233" t="s">
        <v>3854</v>
      </c>
      <c r="BM233" t="s">
        <v>3855</v>
      </c>
      <c r="BN233">
        <v>15689179</v>
      </c>
      <c r="BO233" t="s">
        <v>74</v>
      </c>
      <c r="BP233" t="s">
        <v>74</v>
      </c>
      <c r="BQ233" t="s">
        <v>74</v>
      </c>
      <c r="BR233" t="s">
        <v>97</v>
      </c>
      <c r="BS233" t="s">
        <v>3856</v>
      </c>
      <c r="BT233" t="str">
        <f>HYPERLINK("https%3A%2F%2Fwww.webofscience.com%2Fwos%2Fwoscc%2Ffull-record%2FWOS:000229757200022","View Full Record in Web of Science")</f>
        <v>View Full Record in Web of Science</v>
      </c>
    </row>
    <row r="234" spans="1:72" x14ac:dyDescent="0.15">
      <c r="A234" t="s">
        <v>72</v>
      </c>
      <c r="B234" t="s">
        <v>3857</v>
      </c>
      <c r="C234" t="s">
        <v>74</v>
      </c>
      <c r="D234" t="s">
        <v>74</v>
      </c>
      <c r="E234" t="s">
        <v>74</v>
      </c>
      <c r="F234" t="s">
        <v>3857</v>
      </c>
      <c r="G234" t="s">
        <v>74</v>
      </c>
      <c r="H234" t="s">
        <v>74</v>
      </c>
      <c r="I234" t="s">
        <v>3858</v>
      </c>
      <c r="J234" t="s">
        <v>124</v>
      </c>
      <c r="K234" t="s">
        <v>74</v>
      </c>
      <c r="L234" t="s">
        <v>74</v>
      </c>
      <c r="M234" t="s">
        <v>77</v>
      </c>
      <c r="N234" t="s">
        <v>365</v>
      </c>
      <c r="O234" t="s">
        <v>74</v>
      </c>
      <c r="P234" t="s">
        <v>74</v>
      </c>
      <c r="Q234" t="s">
        <v>74</v>
      </c>
      <c r="R234" t="s">
        <v>74</v>
      </c>
      <c r="S234" t="s">
        <v>74</v>
      </c>
      <c r="T234" t="s">
        <v>74</v>
      </c>
      <c r="U234" t="s">
        <v>3859</v>
      </c>
      <c r="V234" t="s">
        <v>3860</v>
      </c>
      <c r="W234" t="s">
        <v>3861</v>
      </c>
      <c r="X234" t="s">
        <v>3862</v>
      </c>
      <c r="Y234" t="s">
        <v>3863</v>
      </c>
      <c r="Z234" t="s">
        <v>3864</v>
      </c>
      <c r="AA234" t="s">
        <v>74</v>
      </c>
      <c r="AB234" t="s">
        <v>74</v>
      </c>
      <c r="AC234" t="s">
        <v>74</v>
      </c>
      <c r="AD234" t="s">
        <v>74</v>
      </c>
      <c r="AE234" t="s">
        <v>74</v>
      </c>
      <c r="AF234" t="s">
        <v>74</v>
      </c>
      <c r="AG234">
        <v>126</v>
      </c>
      <c r="AH234">
        <v>17</v>
      </c>
      <c r="AI234">
        <v>19</v>
      </c>
      <c r="AJ234">
        <v>0</v>
      </c>
      <c r="AK234">
        <v>25</v>
      </c>
      <c r="AL234" t="s">
        <v>133</v>
      </c>
      <c r="AM234" t="s">
        <v>134</v>
      </c>
      <c r="AN234" t="s">
        <v>181</v>
      </c>
      <c r="AO234" t="s">
        <v>136</v>
      </c>
      <c r="AP234" t="s">
        <v>156</v>
      </c>
      <c r="AQ234" t="s">
        <v>74</v>
      </c>
      <c r="AR234" t="s">
        <v>137</v>
      </c>
      <c r="AS234" t="s">
        <v>138</v>
      </c>
      <c r="AT234" t="s">
        <v>2847</v>
      </c>
      <c r="AU234">
        <v>2005</v>
      </c>
      <c r="AV234">
        <v>28</v>
      </c>
      <c r="AW234">
        <v>6</v>
      </c>
      <c r="AX234" t="s">
        <v>74</v>
      </c>
      <c r="AY234" t="s">
        <v>74</v>
      </c>
      <c r="AZ234" t="s">
        <v>74</v>
      </c>
      <c r="BA234" t="s">
        <v>74</v>
      </c>
      <c r="BB234">
        <v>423</v>
      </c>
      <c r="BC234">
        <v>438</v>
      </c>
      <c r="BD234" t="s">
        <v>74</v>
      </c>
      <c r="BE234" t="s">
        <v>3865</v>
      </c>
      <c r="BF234" t="str">
        <f>HYPERLINK("http://dx.doi.org/10.1007/s00300-004-0685-2","http://dx.doi.org/10.1007/s00300-004-0685-2")</f>
        <v>http://dx.doi.org/10.1007/s00300-004-0685-2</v>
      </c>
      <c r="BG234" t="s">
        <v>74</v>
      </c>
      <c r="BH234" t="s">
        <v>74</v>
      </c>
      <c r="BI234">
        <v>16</v>
      </c>
      <c r="BJ234" t="s">
        <v>140</v>
      </c>
      <c r="BK234" t="s">
        <v>95</v>
      </c>
      <c r="BL234" t="s">
        <v>141</v>
      </c>
      <c r="BM234" t="s">
        <v>3866</v>
      </c>
      <c r="BN234" t="s">
        <v>74</v>
      </c>
      <c r="BO234" t="s">
        <v>74</v>
      </c>
      <c r="BP234" t="s">
        <v>74</v>
      </c>
      <c r="BQ234" t="s">
        <v>74</v>
      </c>
      <c r="BR234" t="s">
        <v>97</v>
      </c>
      <c r="BS234" t="s">
        <v>3867</v>
      </c>
      <c r="BT234" t="str">
        <f>HYPERLINK("https%3A%2F%2Fwww.webofscience.com%2Fwos%2Fwoscc%2Ffull-record%2FWOS:000229110300001","View Full Record in Web of Science")</f>
        <v>View Full Record in Web of Science</v>
      </c>
    </row>
    <row r="235" spans="1:72" x14ac:dyDescent="0.15">
      <c r="A235" t="s">
        <v>72</v>
      </c>
      <c r="B235" t="s">
        <v>3868</v>
      </c>
      <c r="C235" t="s">
        <v>74</v>
      </c>
      <c r="D235" t="s">
        <v>74</v>
      </c>
      <c r="E235" t="s">
        <v>74</v>
      </c>
      <c r="F235" t="s">
        <v>3868</v>
      </c>
      <c r="G235" t="s">
        <v>74</v>
      </c>
      <c r="H235" t="s">
        <v>74</v>
      </c>
      <c r="I235" t="s">
        <v>3869</v>
      </c>
      <c r="J235" t="s">
        <v>124</v>
      </c>
      <c r="K235" t="s">
        <v>74</v>
      </c>
      <c r="L235" t="s">
        <v>74</v>
      </c>
      <c r="M235" t="s">
        <v>77</v>
      </c>
      <c r="N235" t="s">
        <v>78</v>
      </c>
      <c r="O235" t="s">
        <v>74</v>
      </c>
      <c r="P235" t="s">
        <v>74</v>
      </c>
      <c r="Q235" t="s">
        <v>74</v>
      </c>
      <c r="R235" t="s">
        <v>74</v>
      </c>
      <c r="S235" t="s">
        <v>74</v>
      </c>
      <c r="T235" t="s">
        <v>74</v>
      </c>
      <c r="U235" t="s">
        <v>3870</v>
      </c>
      <c r="V235" t="s">
        <v>3871</v>
      </c>
      <c r="W235" t="s">
        <v>3872</v>
      </c>
      <c r="X235" t="s">
        <v>3873</v>
      </c>
      <c r="Y235" t="s">
        <v>3874</v>
      </c>
      <c r="Z235" t="s">
        <v>3875</v>
      </c>
      <c r="AA235" t="s">
        <v>74</v>
      </c>
      <c r="AB235" t="s">
        <v>74</v>
      </c>
      <c r="AC235" t="s">
        <v>74</v>
      </c>
      <c r="AD235" t="s">
        <v>74</v>
      </c>
      <c r="AE235" t="s">
        <v>74</v>
      </c>
      <c r="AF235" t="s">
        <v>74</v>
      </c>
      <c r="AG235">
        <v>35</v>
      </c>
      <c r="AH235">
        <v>34</v>
      </c>
      <c r="AI235">
        <v>42</v>
      </c>
      <c r="AJ235">
        <v>0</v>
      </c>
      <c r="AK235">
        <v>5</v>
      </c>
      <c r="AL235" t="s">
        <v>133</v>
      </c>
      <c r="AM235" t="s">
        <v>134</v>
      </c>
      <c r="AN235" t="s">
        <v>135</v>
      </c>
      <c r="AO235" t="s">
        <v>136</v>
      </c>
      <c r="AP235" t="s">
        <v>74</v>
      </c>
      <c r="AQ235" t="s">
        <v>74</v>
      </c>
      <c r="AR235" t="s">
        <v>137</v>
      </c>
      <c r="AS235" t="s">
        <v>138</v>
      </c>
      <c r="AT235" t="s">
        <v>2847</v>
      </c>
      <c r="AU235">
        <v>2005</v>
      </c>
      <c r="AV235">
        <v>28</v>
      </c>
      <c r="AW235">
        <v>6</v>
      </c>
      <c r="AX235" t="s">
        <v>74</v>
      </c>
      <c r="AY235" t="s">
        <v>74</v>
      </c>
      <c r="AZ235" t="s">
        <v>74</v>
      </c>
      <c r="BA235" t="s">
        <v>74</v>
      </c>
      <c r="BB235">
        <v>439</v>
      </c>
      <c r="BC235">
        <v>448</v>
      </c>
      <c r="BD235" t="s">
        <v>74</v>
      </c>
      <c r="BE235" t="s">
        <v>3876</v>
      </c>
      <c r="BF235" t="str">
        <f>HYPERLINK("http://dx.doi.org/10.1007/s00300-004-0708-z","http://dx.doi.org/10.1007/s00300-004-0708-z")</f>
        <v>http://dx.doi.org/10.1007/s00300-004-0708-z</v>
      </c>
      <c r="BG235" t="s">
        <v>74</v>
      </c>
      <c r="BH235" t="s">
        <v>74</v>
      </c>
      <c r="BI235">
        <v>10</v>
      </c>
      <c r="BJ235" t="s">
        <v>140</v>
      </c>
      <c r="BK235" t="s">
        <v>95</v>
      </c>
      <c r="BL235" t="s">
        <v>141</v>
      </c>
      <c r="BM235" t="s">
        <v>3866</v>
      </c>
      <c r="BN235" t="s">
        <v>74</v>
      </c>
      <c r="BO235" t="s">
        <v>74</v>
      </c>
      <c r="BP235" t="s">
        <v>74</v>
      </c>
      <c r="BQ235" t="s">
        <v>74</v>
      </c>
      <c r="BR235" t="s">
        <v>97</v>
      </c>
      <c r="BS235" t="s">
        <v>3877</v>
      </c>
      <c r="BT235" t="str">
        <f>HYPERLINK("https%3A%2F%2Fwww.webofscience.com%2Fwos%2Fwoscc%2Ffull-record%2FWOS:000229110300002","View Full Record in Web of Science")</f>
        <v>View Full Record in Web of Science</v>
      </c>
    </row>
    <row r="236" spans="1:72" x14ac:dyDescent="0.15">
      <c r="A236" t="s">
        <v>72</v>
      </c>
      <c r="B236" t="s">
        <v>3878</v>
      </c>
      <c r="C236" t="s">
        <v>74</v>
      </c>
      <c r="D236" t="s">
        <v>74</v>
      </c>
      <c r="E236" t="s">
        <v>74</v>
      </c>
      <c r="F236" t="s">
        <v>3878</v>
      </c>
      <c r="G236" t="s">
        <v>74</v>
      </c>
      <c r="H236" t="s">
        <v>74</v>
      </c>
      <c r="I236" t="s">
        <v>3879</v>
      </c>
      <c r="J236" t="s">
        <v>124</v>
      </c>
      <c r="K236" t="s">
        <v>74</v>
      </c>
      <c r="L236" t="s">
        <v>74</v>
      </c>
      <c r="M236" t="s">
        <v>77</v>
      </c>
      <c r="N236" t="s">
        <v>78</v>
      </c>
      <c r="O236" t="s">
        <v>74</v>
      </c>
      <c r="P236" t="s">
        <v>74</v>
      </c>
      <c r="Q236" t="s">
        <v>74</v>
      </c>
      <c r="R236" t="s">
        <v>74</v>
      </c>
      <c r="S236" t="s">
        <v>74</v>
      </c>
      <c r="T236" t="s">
        <v>74</v>
      </c>
      <c r="U236" t="s">
        <v>3880</v>
      </c>
      <c r="V236" t="s">
        <v>3881</v>
      </c>
      <c r="W236" t="s">
        <v>3882</v>
      </c>
      <c r="X236" t="s">
        <v>3525</v>
      </c>
      <c r="Y236" t="s">
        <v>3883</v>
      </c>
      <c r="Z236" t="s">
        <v>3884</v>
      </c>
      <c r="AA236" t="s">
        <v>74</v>
      </c>
      <c r="AB236" t="s">
        <v>74</v>
      </c>
      <c r="AC236" t="s">
        <v>74</v>
      </c>
      <c r="AD236" t="s">
        <v>74</v>
      </c>
      <c r="AE236" t="s">
        <v>74</v>
      </c>
      <c r="AF236" t="s">
        <v>74</v>
      </c>
      <c r="AG236">
        <v>47</v>
      </c>
      <c r="AH236">
        <v>11</v>
      </c>
      <c r="AI236">
        <v>11</v>
      </c>
      <c r="AJ236">
        <v>0</v>
      </c>
      <c r="AK236">
        <v>7</v>
      </c>
      <c r="AL236" t="s">
        <v>133</v>
      </c>
      <c r="AM236" t="s">
        <v>134</v>
      </c>
      <c r="AN236" t="s">
        <v>155</v>
      </c>
      <c r="AO236" t="s">
        <v>136</v>
      </c>
      <c r="AP236" t="s">
        <v>156</v>
      </c>
      <c r="AQ236" t="s">
        <v>74</v>
      </c>
      <c r="AR236" t="s">
        <v>137</v>
      </c>
      <c r="AS236" t="s">
        <v>138</v>
      </c>
      <c r="AT236" t="s">
        <v>2847</v>
      </c>
      <c r="AU236">
        <v>2005</v>
      </c>
      <c r="AV236">
        <v>28</v>
      </c>
      <c r="AW236">
        <v>6</v>
      </c>
      <c r="AX236" t="s">
        <v>74</v>
      </c>
      <c r="AY236" t="s">
        <v>74</v>
      </c>
      <c r="AZ236" t="s">
        <v>74</v>
      </c>
      <c r="BA236" t="s">
        <v>74</v>
      </c>
      <c r="BB236">
        <v>449</v>
      </c>
      <c r="BC236">
        <v>455</v>
      </c>
      <c r="BD236" t="s">
        <v>74</v>
      </c>
      <c r="BE236" t="s">
        <v>3885</v>
      </c>
      <c r="BF236" t="str">
        <f>HYPERLINK("http://dx.doi.org/10.1007/s00300-004-0705-2","http://dx.doi.org/10.1007/s00300-004-0705-2")</f>
        <v>http://dx.doi.org/10.1007/s00300-004-0705-2</v>
      </c>
      <c r="BG236" t="s">
        <v>74</v>
      </c>
      <c r="BH236" t="s">
        <v>74</v>
      </c>
      <c r="BI236">
        <v>7</v>
      </c>
      <c r="BJ236" t="s">
        <v>140</v>
      </c>
      <c r="BK236" t="s">
        <v>95</v>
      </c>
      <c r="BL236" t="s">
        <v>141</v>
      </c>
      <c r="BM236" t="s">
        <v>3866</v>
      </c>
      <c r="BN236" t="s">
        <v>74</v>
      </c>
      <c r="BO236" t="s">
        <v>74</v>
      </c>
      <c r="BP236" t="s">
        <v>74</v>
      </c>
      <c r="BQ236" t="s">
        <v>74</v>
      </c>
      <c r="BR236" t="s">
        <v>97</v>
      </c>
      <c r="BS236" t="s">
        <v>3886</v>
      </c>
      <c r="BT236" t="str">
        <f>HYPERLINK("https%3A%2F%2Fwww.webofscience.com%2Fwos%2Fwoscc%2Ffull-record%2FWOS:000229110300003","View Full Record in Web of Science")</f>
        <v>View Full Record in Web of Science</v>
      </c>
    </row>
    <row r="237" spans="1:72" x14ac:dyDescent="0.15">
      <c r="A237" t="s">
        <v>72</v>
      </c>
      <c r="B237" t="s">
        <v>3887</v>
      </c>
      <c r="C237" t="s">
        <v>74</v>
      </c>
      <c r="D237" t="s">
        <v>74</v>
      </c>
      <c r="E237" t="s">
        <v>74</v>
      </c>
      <c r="F237" t="s">
        <v>3887</v>
      </c>
      <c r="G237" t="s">
        <v>74</v>
      </c>
      <c r="H237" t="s">
        <v>74</v>
      </c>
      <c r="I237" t="s">
        <v>3888</v>
      </c>
      <c r="J237" t="s">
        <v>124</v>
      </c>
      <c r="K237" t="s">
        <v>74</v>
      </c>
      <c r="L237" t="s">
        <v>74</v>
      </c>
      <c r="M237" t="s">
        <v>77</v>
      </c>
      <c r="N237" t="s">
        <v>78</v>
      </c>
      <c r="O237" t="s">
        <v>74</v>
      </c>
      <c r="P237" t="s">
        <v>74</v>
      </c>
      <c r="Q237" t="s">
        <v>74</v>
      </c>
      <c r="R237" t="s">
        <v>74</v>
      </c>
      <c r="S237" t="s">
        <v>74</v>
      </c>
      <c r="T237" t="s">
        <v>74</v>
      </c>
      <c r="U237" t="s">
        <v>3889</v>
      </c>
      <c r="V237" t="s">
        <v>3890</v>
      </c>
      <c r="W237" t="s">
        <v>3891</v>
      </c>
      <c r="X237" t="s">
        <v>3892</v>
      </c>
      <c r="Y237" t="s">
        <v>3893</v>
      </c>
      <c r="Z237" t="s">
        <v>3894</v>
      </c>
      <c r="AA237" t="s">
        <v>3895</v>
      </c>
      <c r="AB237" t="s">
        <v>3896</v>
      </c>
      <c r="AC237" t="s">
        <v>74</v>
      </c>
      <c r="AD237" t="s">
        <v>74</v>
      </c>
      <c r="AE237" t="s">
        <v>74</v>
      </c>
      <c r="AF237" t="s">
        <v>74</v>
      </c>
      <c r="AG237">
        <v>37</v>
      </c>
      <c r="AH237">
        <v>19</v>
      </c>
      <c r="AI237">
        <v>21</v>
      </c>
      <c r="AJ237">
        <v>0</v>
      </c>
      <c r="AK237">
        <v>10</v>
      </c>
      <c r="AL237" t="s">
        <v>133</v>
      </c>
      <c r="AM237" t="s">
        <v>134</v>
      </c>
      <c r="AN237" t="s">
        <v>135</v>
      </c>
      <c r="AO237" t="s">
        <v>136</v>
      </c>
      <c r="AP237" t="s">
        <v>74</v>
      </c>
      <c r="AQ237" t="s">
        <v>74</v>
      </c>
      <c r="AR237" t="s">
        <v>137</v>
      </c>
      <c r="AS237" t="s">
        <v>138</v>
      </c>
      <c r="AT237" t="s">
        <v>2847</v>
      </c>
      <c r="AU237">
        <v>2005</v>
      </c>
      <c r="AV237">
        <v>28</v>
      </c>
      <c r="AW237">
        <v>6</v>
      </c>
      <c r="AX237" t="s">
        <v>74</v>
      </c>
      <c r="AY237" t="s">
        <v>74</v>
      </c>
      <c r="AZ237" t="s">
        <v>74</v>
      </c>
      <c r="BA237" t="s">
        <v>74</v>
      </c>
      <c r="BB237">
        <v>464</v>
      </c>
      <c r="BC237">
        <v>469</v>
      </c>
      <c r="BD237" t="s">
        <v>74</v>
      </c>
      <c r="BE237" t="s">
        <v>3897</v>
      </c>
      <c r="BF237" t="str">
        <f>HYPERLINK("http://dx.doi.org/10.1007/s00300-004-0699-9","http://dx.doi.org/10.1007/s00300-004-0699-9")</f>
        <v>http://dx.doi.org/10.1007/s00300-004-0699-9</v>
      </c>
      <c r="BG237" t="s">
        <v>74</v>
      </c>
      <c r="BH237" t="s">
        <v>74</v>
      </c>
      <c r="BI237">
        <v>6</v>
      </c>
      <c r="BJ237" t="s">
        <v>140</v>
      </c>
      <c r="BK237" t="s">
        <v>95</v>
      </c>
      <c r="BL237" t="s">
        <v>141</v>
      </c>
      <c r="BM237" t="s">
        <v>3866</v>
      </c>
      <c r="BN237" t="s">
        <v>74</v>
      </c>
      <c r="BO237" t="s">
        <v>1165</v>
      </c>
      <c r="BP237" t="s">
        <v>74</v>
      </c>
      <c r="BQ237" t="s">
        <v>74</v>
      </c>
      <c r="BR237" t="s">
        <v>97</v>
      </c>
      <c r="BS237" t="s">
        <v>3898</v>
      </c>
      <c r="BT237" t="str">
        <f>HYPERLINK("https%3A%2F%2Fwww.webofscience.com%2Fwos%2Fwoscc%2Ffull-record%2FWOS:000229110300005","View Full Record in Web of Science")</f>
        <v>View Full Record in Web of Science</v>
      </c>
    </row>
    <row r="238" spans="1:72" x14ac:dyDescent="0.15">
      <c r="A238" t="s">
        <v>72</v>
      </c>
      <c r="B238" t="s">
        <v>3899</v>
      </c>
      <c r="C238" t="s">
        <v>74</v>
      </c>
      <c r="D238" t="s">
        <v>74</v>
      </c>
      <c r="E238" t="s">
        <v>74</v>
      </c>
      <c r="F238" t="s">
        <v>3899</v>
      </c>
      <c r="G238" t="s">
        <v>74</v>
      </c>
      <c r="H238" t="s">
        <v>74</v>
      </c>
      <c r="I238" t="s">
        <v>3900</v>
      </c>
      <c r="J238" t="s">
        <v>124</v>
      </c>
      <c r="K238" t="s">
        <v>74</v>
      </c>
      <c r="L238" t="s">
        <v>74</v>
      </c>
      <c r="M238" t="s">
        <v>77</v>
      </c>
      <c r="N238" t="s">
        <v>78</v>
      </c>
      <c r="O238" t="s">
        <v>74</v>
      </c>
      <c r="P238" t="s">
        <v>74</v>
      </c>
      <c r="Q238" t="s">
        <v>74</v>
      </c>
      <c r="R238" t="s">
        <v>74</v>
      </c>
      <c r="S238" t="s">
        <v>74</v>
      </c>
      <c r="T238" t="s">
        <v>74</v>
      </c>
      <c r="U238" t="s">
        <v>3901</v>
      </c>
      <c r="V238" t="s">
        <v>3902</v>
      </c>
      <c r="W238" t="s">
        <v>3903</v>
      </c>
      <c r="X238" t="s">
        <v>3904</v>
      </c>
      <c r="Y238" t="s">
        <v>3905</v>
      </c>
      <c r="Z238" t="s">
        <v>3906</v>
      </c>
      <c r="AA238" t="s">
        <v>3907</v>
      </c>
      <c r="AB238" t="s">
        <v>3908</v>
      </c>
      <c r="AC238" t="s">
        <v>74</v>
      </c>
      <c r="AD238" t="s">
        <v>74</v>
      </c>
      <c r="AE238" t="s">
        <v>74</v>
      </c>
      <c r="AF238" t="s">
        <v>74</v>
      </c>
      <c r="AG238">
        <v>50</v>
      </c>
      <c r="AH238">
        <v>42</v>
      </c>
      <c r="AI238">
        <v>46</v>
      </c>
      <c r="AJ238">
        <v>0</v>
      </c>
      <c r="AK238">
        <v>17</v>
      </c>
      <c r="AL238" t="s">
        <v>133</v>
      </c>
      <c r="AM238" t="s">
        <v>134</v>
      </c>
      <c r="AN238" t="s">
        <v>181</v>
      </c>
      <c r="AO238" t="s">
        <v>136</v>
      </c>
      <c r="AP238" t="s">
        <v>156</v>
      </c>
      <c r="AQ238" t="s">
        <v>74</v>
      </c>
      <c r="AR238" t="s">
        <v>137</v>
      </c>
      <c r="AS238" t="s">
        <v>138</v>
      </c>
      <c r="AT238" t="s">
        <v>2847</v>
      </c>
      <c r="AU238">
        <v>2005</v>
      </c>
      <c r="AV238">
        <v>28</v>
      </c>
      <c r="AW238">
        <v>6</v>
      </c>
      <c r="AX238" t="s">
        <v>74</v>
      </c>
      <c r="AY238" t="s">
        <v>74</v>
      </c>
      <c r="AZ238" t="s">
        <v>74</v>
      </c>
      <c r="BA238" t="s">
        <v>74</v>
      </c>
      <c r="BB238">
        <v>470</v>
      </c>
      <c r="BC238">
        <v>482</v>
      </c>
      <c r="BD238" t="s">
        <v>74</v>
      </c>
      <c r="BE238" t="s">
        <v>3909</v>
      </c>
      <c r="BF238" t="str">
        <f>HYPERLINK("http://dx.doi.org/10.1007/s00300-004-0698-x","http://dx.doi.org/10.1007/s00300-004-0698-x")</f>
        <v>http://dx.doi.org/10.1007/s00300-004-0698-x</v>
      </c>
      <c r="BG238" t="s">
        <v>74</v>
      </c>
      <c r="BH238" t="s">
        <v>74</v>
      </c>
      <c r="BI238">
        <v>13</v>
      </c>
      <c r="BJ238" t="s">
        <v>140</v>
      </c>
      <c r="BK238" t="s">
        <v>95</v>
      </c>
      <c r="BL238" t="s">
        <v>141</v>
      </c>
      <c r="BM238" t="s">
        <v>3866</v>
      </c>
      <c r="BN238" t="s">
        <v>74</v>
      </c>
      <c r="BO238" t="s">
        <v>74</v>
      </c>
      <c r="BP238" t="s">
        <v>74</v>
      </c>
      <c r="BQ238" t="s">
        <v>74</v>
      </c>
      <c r="BR238" t="s">
        <v>97</v>
      </c>
      <c r="BS238" t="s">
        <v>3910</v>
      </c>
      <c r="BT238" t="str">
        <f>HYPERLINK("https%3A%2F%2Fwww.webofscience.com%2Fwos%2Fwoscc%2Ffull-record%2FWOS:000229110300006","View Full Record in Web of Science")</f>
        <v>View Full Record in Web of Science</v>
      </c>
    </row>
    <row r="239" spans="1:72" x14ac:dyDescent="0.15">
      <c r="A239" t="s">
        <v>72</v>
      </c>
      <c r="B239" t="s">
        <v>3911</v>
      </c>
      <c r="C239" t="s">
        <v>74</v>
      </c>
      <c r="D239" t="s">
        <v>74</v>
      </c>
      <c r="E239" t="s">
        <v>74</v>
      </c>
      <c r="F239" t="s">
        <v>3911</v>
      </c>
      <c r="G239" t="s">
        <v>74</v>
      </c>
      <c r="H239" t="s">
        <v>74</v>
      </c>
      <c r="I239" t="s">
        <v>3912</v>
      </c>
      <c r="J239" t="s">
        <v>124</v>
      </c>
      <c r="K239" t="s">
        <v>74</v>
      </c>
      <c r="L239" t="s">
        <v>74</v>
      </c>
      <c r="M239" t="s">
        <v>77</v>
      </c>
      <c r="N239" t="s">
        <v>78</v>
      </c>
      <c r="O239" t="s">
        <v>74</v>
      </c>
      <c r="P239" t="s">
        <v>74</v>
      </c>
      <c r="Q239" t="s">
        <v>74</v>
      </c>
      <c r="R239" t="s">
        <v>74</v>
      </c>
      <c r="S239" t="s">
        <v>74</v>
      </c>
      <c r="T239" t="s">
        <v>74</v>
      </c>
      <c r="U239" t="s">
        <v>3913</v>
      </c>
      <c r="V239" t="s">
        <v>3914</v>
      </c>
      <c r="W239" t="s">
        <v>3915</v>
      </c>
      <c r="X239" t="s">
        <v>3916</v>
      </c>
      <c r="Y239" t="s">
        <v>3917</v>
      </c>
      <c r="Z239" t="s">
        <v>3918</v>
      </c>
      <c r="AA239" t="s">
        <v>3919</v>
      </c>
      <c r="AB239" t="s">
        <v>3920</v>
      </c>
      <c r="AC239" t="s">
        <v>74</v>
      </c>
      <c r="AD239" t="s">
        <v>74</v>
      </c>
      <c r="AE239" t="s">
        <v>74</v>
      </c>
      <c r="AF239" t="s">
        <v>74</v>
      </c>
      <c r="AG239">
        <v>38</v>
      </c>
      <c r="AH239">
        <v>17</v>
      </c>
      <c r="AI239">
        <v>20</v>
      </c>
      <c r="AJ239">
        <v>0</v>
      </c>
      <c r="AK239">
        <v>12</v>
      </c>
      <c r="AL239" t="s">
        <v>133</v>
      </c>
      <c r="AM239" t="s">
        <v>134</v>
      </c>
      <c r="AN239" t="s">
        <v>155</v>
      </c>
      <c r="AO239" t="s">
        <v>136</v>
      </c>
      <c r="AP239" t="s">
        <v>156</v>
      </c>
      <c r="AQ239" t="s">
        <v>74</v>
      </c>
      <c r="AR239" t="s">
        <v>137</v>
      </c>
      <c r="AS239" t="s">
        <v>138</v>
      </c>
      <c r="AT239" t="s">
        <v>2847</v>
      </c>
      <c r="AU239">
        <v>2005</v>
      </c>
      <c r="AV239">
        <v>28</v>
      </c>
      <c r="AW239">
        <v>6</v>
      </c>
      <c r="AX239" t="s">
        <v>74</v>
      </c>
      <c r="AY239" t="s">
        <v>74</v>
      </c>
      <c r="AZ239" t="s">
        <v>74</v>
      </c>
      <c r="BA239" t="s">
        <v>74</v>
      </c>
      <c r="BB239">
        <v>483</v>
      </c>
      <c r="BC239">
        <v>493</v>
      </c>
      <c r="BD239" t="s">
        <v>74</v>
      </c>
      <c r="BE239" t="s">
        <v>3921</v>
      </c>
      <c r="BF239" t="str">
        <f>HYPERLINK("http://dx.doi.org/10.1007/s00300-004-0663-8","http://dx.doi.org/10.1007/s00300-004-0663-8")</f>
        <v>http://dx.doi.org/10.1007/s00300-004-0663-8</v>
      </c>
      <c r="BG239" t="s">
        <v>74</v>
      </c>
      <c r="BH239" t="s">
        <v>74</v>
      </c>
      <c r="BI239">
        <v>11</v>
      </c>
      <c r="BJ239" t="s">
        <v>140</v>
      </c>
      <c r="BK239" t="s">
        <v>95</v>
      </c>
      <c r="BL239" t="s">
        <v>141</v>
      </c>
      <c r="BM239" t="s">
        <v>3866</v>
      </c>
      <c r="BN239" t="s">
        <v>74</v>
      </c>
      <c r="BO239" t="s">
        <v>74</v>
      </c>
      <c r="BP239" t="s">
        <v>74</v>
      </c>
      <c r="BQ239" t="s">
        <v>74</v>
      </c>
      <c r="BR239" t="s">
        <v>97</v>
      </c>
      <c r="BS239" t="s">
        <v>3922</v>
      </c>
      <c r="BT239" t="str">
        <f>HYPERLINK("https%3A%2F%2Fwww.webofscience.com%2Fwos%2Fwoscc%2Ffull-record%2FWOS:000229110300007","View Full Record in Web of Science")</f>
        <v>View Full Record in Web of Science</v>
      </c>
    </row>
    <row r="240" spans="1:72" x14ac:dyDescent="0.15">
      <c r="A240" t="s">
        <v>72</v>
      </c>
      <c r="B240" t="s">
        <v>3923</v>
      </c>
      <c r="C240" t="s">
        <v>74</v>
      </c>
      <c r="D240" t="s">
        <v>74</v>
      </c>
      <c r="E240" t="s">
        <v>74</v>
      </c>
      <c r="F240" t="s">
        <v>3923</v>
      </c>
      <c r="G240" t="s">
        <v>74</v>
      </c>
      <c r="H240" t="s">
        <v>74</v>
      </c>
      <c r="I240" t="s">
        <v>3924</v>
      </c>
      <c r="J240" t="s">
        <v>3925</v>
      </c>
      <c r="K240" t="s">
        <v>74</v>
      </c>
      <c r="L240" t="s">
        <v>74</v>
      </c>
      <c r="M240" t="s">
        <v>77</v>
      </c>
      <c r="N240" t="s">
        <v>78</v>
      </c>
      <c r="O240" t="s">
        <v>74</v>
      </c>
      <c r="P240" t="s">
        <v>74</v>
      </c>
      <c r="Q240" t="s">
        <v>74</v>
      </c>
      <c r="R240" t="s">
        <v>74</v>
      </c>
      <c r="S240" t="s">
        <v>74</v>
      </c>
      <c r="T240" t="s">
        <v>74</v>
      </c>
      <c r="U240" t="s">
        <v>3926</v>
      </c>
      <c r="V240" t="s">
        <v>3927</v>
      </c>
      <c r="W240" t="s">
        <v>3928</v>
      </c>
      <c r="X240" t="s">
        <v>3929</v>
      </c>
      <c r="Y240" t="s">
        <v>3930</v>
      </c>
      <c r="Z240" t="s">
        <v>3931</v>
      </c>
      <c r="AA240" t="s">
        <v>3932</v>
      </c>
      <c r="AB240" t="s">
        <v>3933</v>
      </c>
      <c r="AC240" t="s">
        <v>74</v>
      </c>
      <c r="AD240" t="s">
        <v>74</v>
      </c>
      <c r="AE240" t="s">
        <v>74</v>
      </c>
      <c r="AF240" t="s">
        <v>74</v>
      </c>
      <c r="AG240">
        <v>30</v>
      </c>
      <c r="AH240">
        <v>47</v>
      </c>
      <c r="AI240">
        <v>49</v>
      </c>
      <c r="AJ240">
        <v>1</v>
      </c>
      <c r="AK240">
        <v>30</v>
      </c>
      <c r="AL240" t="s">
        <v>255</v>
      </c>
      <c r="AM240" t="s">
        <v>256</v>
      </c>
      <c r="AN240" t="s">
        <v>257</v>
      </c>
      <c r="AO240" t="s">
        <v>3934</v>
      </c>
      <c r="AP240" t="s">
        <v>74</v>
      </c>
      <c r="AQ240" t="s">
        <v>74</v>
      </c>
      <c r="AR240" t="s">
        <v>3935</v>
      </c>
      <c r="AS240" t="s">
        <v>3936</v>
      </c>
      <c r="AT240" t="s">
        <v>2847</v>
      </c>
      <c r="AU240">
        <v>2005</v>
      </c>
      <c r="AV240">
        <v>133</v>
      </c>
      <c r="AW240" t="s">
        <v>74</v>
      </c>
      <c r="AX240" t="s">
        <v>74</v>
      </c>
      <c r="AY240" t="s">
        <v>74</v>
      </c>
      <c r="AZ240" t="s">
        <v>74</v>
      </c>
      <c r="BA240" t="s">
        <v>74</v>
      </c>
      <c r="BB240">
        <v>95</v>
      </c>
      <c r="BC240">
        <v>106</v>
      </c>
      <c r="BD240" t="s">
        <v>74</v>
      </c>
      <c r="BE240" t="s">
        <v>3937</v>
      </c>
      <c r="BF240" t="str">
        <f>HYPERLINK("http://dx.doi.org/10.1016/j.quaint.2004.10.015","http://dx.doi.org/10.1016/j.quaint.2004.10.015")</f>
        <v>http://dx.doi.org/10.1016/j.quaint.2004.10.015</v>
      </c>
      <c r="BG240" t="s">
        <v>74</v>
      </c>
      <c r="BH240" t="s">
        <v>74</v>
      </c>
      <c r="BI240">
        <v>12</v>
      </c>
      <c r="BJ240" t="s">
        <v>242</v>
      </c>
      <c r="BK240" t="s">
        <v>95</v>
      </c>
      <c r="BL240" t="s">
        <v>243</v>
      </c>
      <c r="BM240" t="s">
        <v>3938</v>
      </c>
      <c r="BN240" t="s">
        <v>74</v>
      </c>
      <c r="BO240" t="s">
        <v>74</v>
      </c>
      <c r="BP240" t="s">
        <v>74</v>
      </c>
      <c r="BQ240" t="s">
        <v>74</v>
      </c>
      <c r="BR240" t="s">
        <v>97</v>
      </c>
      <c r="BS240" t="s">
        <v>3939</v>
      </c>
      <c r="BT240" t="str">
        <f>HYPERLINK("https%3A%2F%2Fwww.webofscience.com%2Fwos%2Fwoscc%2Ffull-record%2FWOS:000227576900008","View Full Record in Web of Science")</f>
        <v>View Full Record in Web of Science</v>
      </c>
    </row>
    <row r="241" spans="1:72" x14ac:dyDescent="0.15">
      <c r="A241" t="s">
        <v>72</v>
      </c>
      <c r="B241" t="s">
        <v>3940</v>
      </c>
      <c r="C241" t="s">
        <v>74</v>
      </c>
      <c r="D241" t="s">
        <v>74</v>
      </c>
      <c r="E241" t="s">
        <v>74</v>
      </c>
      <c r="F241" t="s">
        <v>3940</v>
      </c>
      <c r="G241" t="s">
        <v>74</v>
      </c>
      <c r="H241" t="s">
        <v>74</v>
      </c>
      <c r="I241" t="s">
        <v>3941</v>
      </c>
      <c r="J241" t="s">
        <v>248</v>
      </c>
      <c r="K241" t="s">
        <v>74</v>
      </c>
      <c r="L241" t="s">
        <v>74</v>
      </c>
      <c r="M241" t="s">
        <v>77</v>
      </c>
      <c r="N241" t="s">
        <v>78</v>
      </c>
      <c r="O241" t="s">
        <v>74</v>
      </c>
      <c r="P241" t="s">
        <v>74</v>
      </c>
      <c r="Q241" t="s">
        <v>74</v>
      </c>
      <c r="R241" t="s">
        <v>74</v>
      </c>
      <c r="S241" t="s">
        <v>74</v>
      </c>
      <c r="T241" t="s">
        <v>74</v>
      </c>
      <c r="U241" t="s">
        <v>3942</v>
      </c>
      <c r="V241" t="s">
        <v>3943</v>
      </c>
      <c r="W241" t="s">
        <v>3944</v>
      </c>
      <c r="X241" t="s">
        <v>3945</v>
      </c>
      <c r="Y241" t="s">
        <v>3946</v>
      </c>
      <c r="Z241" t="s">
        <v>3947</v>
      </c>
      <c r="AA241" t="s">
        <v>74</v>
      </c>
      <c r="AB241" t="s">
        <v>74</v>
      </c>
      <c r="AC241" t="s">
        <v>74</v>
      </c>
      <c r="AD241" t="s">
        <v>74</v>
      </c>
      <c r="AE241" t="s">
        <v>74</v>
      </c>
      <c r="AF241" t="s">
        <v>74</v>
      </c>
      <c r="AG241">
        <v>51</v>
      </c>
      <c r="AH241">
        <v>50</v>
      </c>
      <c r="AI241">
        <v>52</v>
      </c>
      <c r="AJ241">
        <v>0</v>
      </c>
      <c r="AK241">
        <v>19</v>
      </c>
      <c r="AL241" t="s">
        <v>255</v>
      </c>
      <c r="AM241" t="s">
        <v>256</v>
      </c>
      <c r="AN241" t="s">
        <v>257</v>
      </c>
      <c r="AO241" t="s">
        <v>258</v>
      </c>
      <c r="AP241" t="s">
        <v>74</v>
      </c>
      <c r="AQ241" t="s">
        <v>74</v>
      </c>
      <c r="AR241" t="s">
        <v>259</v>
      </c>
      <c r="AS241" t="s">
        <v>260</v>
      </c>
      <c r="AT241" t="s">
        <v>2847</v>
      </c>
      <c r="AU241">
        <v>2005</v>
      </c>
      <c r="AV241">
        <v>24</v>
      </c>
      <c r="AW241" t="s">
        <v>3948</v>
      </c>
      <c r="AX241" t="s">
        <v>74</v>
      </c>
      <c r="AY241" t="s">
        <v>74</v>
      </c>
      <c r="AZ241" t="s">
        <v>74</v>
      </c>
      <c r="BA241" t="s">
        <v>74</v>
      </c>
      <c r="BB241">
        <v>1111</v>
      </c>
      <c r="BC241">
        <v>1121</v>
      </c>
      <c r="BD241" t="s">
        <v>74</v>
      </c>
      <c r="BE241" t="s">
        <v>3949</v>
      </c>
      <c r="BF241" t="str">
        <f>HYPERLINK("http://dx.doi.org/10.1016/j.quascirev.2004.10.012","http://dx.doi.org/10.1016/j.quascirev.2004.10.012")</f>
        <v>http://dx.doi.org/10.1016/j.quascirev.2004.10.012</v>
      </c>
      <c r="BG241" t="s">
        <v>74</v>
      </c>
      <c r="BH241" t="s">
        <v>74</v>
      </c>
      <c r="BI241">
        <v>11</v>
      </c>
      <c r="BJ241" t="s">
        <v>242</v>
      </c>
      <c r="BK241" t="s">
        <v>95</v>
      </c>
      <c r="BL241" t="s">
        <v>243</v>
      </c>
      <c r="BM241" t="s">
        <v>3950</v>
      </c>
      <c r="BN241" t="s">
        <v>74</v>
      </c>
      <c r="BO241" t="s">
        <v>74</v>
      </c>
      <c r="BP241" t="s">
        <v>74</v>
      </c>
      <c r="BQ241" t="s">
        <v>74</v>
      </c>
      <c r="BR241" t="s">
        <v>97</v>
      </c>
      <c r="BS241" t="s">
        <v>3951</v>
      </c>
      <c r="BT241" t="str">
        <f>HYPERLINK("https%3A%2F%2Fwww.webofscience.com%2Fwos%2Fwoscc%2Ffull-record%2FWOS:000228257700002","View Full Record in Web of Science")</f>
        <v>View Full Record in Web of Science</v>
      </c>
    </row>
    <row r="242" spans="1:72" x14ac:dyDescent="0.15">
      <c r="A242" t="s">
        <v>72</v>
      </c>
      <c r="B242" t="s">
        <v>3952</v>
      </c>
      <c r="C242" t="s">
        <v>74</v>
      </c>
      <c r="D242" t="s">
        <v>74</v>
      </c>
      <c r="E242" t="s">
        <v>74</v>
      </c>
      <c r="F242" t="s">
        <v>3952</v>
      </c>
      <c r="G242" t="s">
        <v>74</v>
      </c>
      <c r="H242" t="s">
        <v>74</v>
      </c>
      <c r="I242" t="s">
        <v>3953</v>
      </c>
      <c r="J242" t="s">
        <v>248</v>
      </c>
      <c r="K242" t="s">
        <v>74</v>
      </c>
      <c r="L242" t="s">
        <v>74</v>
      </c>
      <c r="M242" t="s">
        <v>77</v>
      </c>
      <c r="N242" t="s">
        <v>78</v>
      </c>
      <c r="O242" t="s">
        <v>74</v>
      </c>
      <c r="P242" t="s">
        <v>74</v>
      </c>
      <c r="Q242" t="s">
        <v>74</v>
      </c>
      <c r="R242" t="s">
        <v>74</v>
      </c>
      <c r="S242" t="s">
        <v>74</v>
      </c>
      <c r="T242" t="s">
        <v>74</v>
      </c>
      <c r="U242" t="s">
        <v>3954</v>
      </c>
      <c r="V242" t="s">
        <v>3955</v>
      </c>
      <c r="W242" t="s">
        <v>3956</v>
      </c>
      <c r="X242" t="s">
        <v>3957</v>
      </c>
      <c r="Y242" t="s">
        <v>3958</v>
      </c>
      <c r="Z242" t="s">
        <v>3959</v>
      </c>
      <c r="AA242" t="s">
        <v>3960</v>
      </c>
      <c r="AB242" t="s">
        <v>3961</v>
      </c>
      <c r="AC242" t="s">
        <v>74</v>
      </c>
      <c r="AD242" t="s">
        <v>74</v>
      </c>
      <c r="AE242" t="s">
        <v>74</v>
      </c>
      <c r="AF242" t="s">
        <v>74</v>
      </c>
      <c r="AG242">
        <v>28</v>
      </c>
      <c r="AH242">
        <v>73</v>
      </c>
      <c r="AI242">
        <v>85</v>
      </c>
      <c r="AJ242">
        <v>2</v>
      </c>
      <c r="AK242">
        <v>11</v>
      </c>
      <c r="AL242" t="s">
        <v>255</v>
      </c>
      <c r="AM242" t="s">
        <v>256</v>
      </c>
      <c r="AN242" t="s">
        <v>257</v>
      </c>
      <c r="AO242" t="s">
        <v>258</v>
      </c>
      <c r="AP242" t="s">
        <v>74</v>
      </c>
      <c r="AQ242" t="s">
        <v>74</v>
      </c>
      <c r="AR242" t="s">
        <v>259</v>
      </c>
      <c r="AS242" t="s">
        <v>260</v>
      </c>
      <c r="AT242" t="s">
        <v>2847</v>
      </c>
      <c r="AU242">
        <v>2005</v>
      </c>
      <c r="AV242">
        <v>24</v>
      </c>
      <c r="AW242" t="s">
        <v>3948</v>
      </c>
      <c r="AX242" t="s">
        <v>74</v>
      </c>
      <c r="AY242" t="s">
        <v>74</v>
      </c>
      <c r="AZ242" t="s">
        <v>74</v>
      </c>
      <c r="BA242" t="s">
        <v>74</v>
      </c>
      <c r="BB242">
        <v>1203</v>
      </c>
      <c r="BC242">
        <v>1216</v>
      </c>
      <c r="BD242" t="s">
        <v>74</v>
      </c>
      <c r="BE242" t="s">
        <v>3962</v>
      </c>
      <c r="BF242" t="str">
        <f>HYPERLINK("http://dx.doi.org/10.1016/j.quascirev.2004.10.004","http://dx.doi.org/10.1016/j.quascirev.2004.10.004")</f>
        <v>http://dx.doi.org/10.1016/j.quascirev.2004.10.004</v>
      </c>
      <c r="BG242" t="s">
        <v>74</v>
      </c>
      <c r="BH242" t="s">
        <v>74</v>
      </c>
      <c r="BI242">
        <v>14</v>
      </c>
      <c r="BJ242" t="s">
        <v>242</v>
      </c>
      <c r="BK242" t="s">
        <v>95</v>
      </c>
      <c r="BL242" t="s">
        <v>243</v>
      </c>
      <c r="BM242" t="s">
        <v>3950</v>
      </c>
      <c r="BN242" t="s">
        <v>74</v>
      </c>
      <c r="BO242" t="s">
        <v>74</v>
      </c>
      <c r="BP242" t="s">
        <v>74</v>
      </c>
      <c r="BQ242" t="s">
        <v>74</v>
      </c>
      <c r="BR242" t="s">
        <v>97</v>
      </c>
      <c r="BS242" t="s">
        <v>3963</v>
      </c>
      <c r="BT242" t="str">
        <f>HYPERLINK("https%3A%2F%2Fwww.webofscience.com%2Fwos%2Fwoscc%2Ffull-record%2FWOS:000228257700007","View Full Record in Web of Science")</f>
        <v>View Full Record in Web of Science</v>
      </c>
    </row>
    <row r="243" spans="1:72" x14ac:dyDescent="0.15">
      <c r="A243" t="s">
        <v>72</v>
      </c>
      <c r="B243" t="s">
        <v>3964</v>
      </c>
      <c r="C243" t="s">
        <v>74</v>
      </c>
      <c r="D243" t="s">
        <v>74</v>
      </c>
      <c r="E243" t="s">
        <v>74</v>
      </c>
      <c r="F243" t="s">
        <v>3964</v>
      </c>
      <c r="G243" t="s">
        <v>74</v>
      </c>
      <c r="H243" t="s">
        <v>74</v>
      </c>
      <c r="I243" t="s">
        <v>3965</v>
      </c>
      <c r="J243" t="s">
        <v>248</v>
      </c>
      <c r="K243" t="s">
        <v>74</v>
      </c>
      <c r="L243" t="s">
        <v>74</v>
      </c>
      <c r="M243" t="s">
        <v>77</v>
      </c>
      <c r="N243" t="s">
        <v>78</v>
      </c>
      <c r="O243" t="s">
        <v>74</v>
      </c>
      <c r="P243" t="s">
        <v>74</v>
      </c>
      <c r="Q243" t="s">
        <v>74</v>
      </c>
      <c r="R243" t="s">
        <v>74</v>
      </c>
      <c r="S243" t="s">
        <v>74</v>
      </c>
      <c r="T243" t="s">
        <v>74</v>
      </c>
      <c r="U243" t="s">
        <v>3966</v>
      </c>
      <c r="V243" t="s">
        <v>3967</v>
      </c>
      <c r="W243" t="s">
        <v>3968</v>
      </c>
      <c r="X243" t="s">
        <v>3969</v>
      </c>
      <c r="Y243" t="s">
        <v>3970</v>
      </c>
      <c r="Z243" t="s">
        <v>3971</v>
      </c>
      <c r="AA243" t="s">
        <v>3972</v>
      </c>
      <c r="AB243" t="s">
        <v>3973</v>
      </c>
      <c r="AC243" t="s">
        <v>74</v>
      </c>
      <c r="AD243" t="s">
        <v>74</v>
      </c>
      <c r="AE243" t="s">
        <v>74</v>
      </c>
      <c r="AF243" t="s">
        <v>74</v>
      </c>
      <c r="AG243">
        <v>65</v>
      </c>
      <c r="AH243">
        <v>11</v>
      </c>
      <c r="AI243">
        <v>12</v>
      </c>
      <c r="AJ243">
        <v>0</v>
      </c>
      <c r="AK243">
        <v>9</v>
      </c>
      <c r="AL243" t="s">
        <v>255</v>
      </c>
      <c r="AM243" t="s">
        <v>256</v>
      </c>
      <c r="AN243" t="s">
        <v>257</v>
      </c>
      <c r="AO243" t="s">
        <v>258</v>
      </c>
      <c r="AP243" t="s">
        <v>74</v>
      </c>
      <c r="AQ243" t="s">
        <v>74</v>
      </c>
      <c r="AR243" t="s">
        <v>259</v>
      </c>
      <c r="AS243" t="s">
        <v>260</v>
      </c>
      <c r="AT243" t="s">
        <v>2847</v>
      </c>
      <c r="AU243">
        <v>2005</v>
      </c>
      <c r="AV243">
        <v>24</v>
      </c>
      <c r="AW243" t="s">
        <v>3948</v>
      </c>
      <c r="AX243" t="s">
        <v>74</v>
      </c>
      <c r="AY243" t="s">
        <v>74</v>
      </c>
      <c r="AZ243" t="s">
        <v>74</v>
      </c>
      <c r="BA243" t="s">
        <v>74</v>
      </c>
      <c r="BB243">
        <v>1223</v>
      </c>
      <c r="BC243">
        <v>1241</v>
      </c>
      <c r="BD243" t="s">
        <v>74</v>
      </c>
      <c r="BE243" t="s">
        <v>3974</v>
      </c>
      <c r="BF243" t="str">
        <f>HYPERLINK("http://dx.doi.org/10.1016/j.quascirev.2004.10.008","http://dx.doi.org/10.1016/j.quascirev.2004.10.008")</f>
        <v>http://dx.doi.org/10.1016/j.quascirev.2004.10.008</v>
      </c>
      <c r="BG243" t="s">
        <v>74</v>
      </c>
      <c r="BH243" t="s">
        <v>74</v>
      </c>
      <c r="BI243">
        <v>19</v>
      </c>
      <c r="BJ243" t="s">
        <v>242</v>
      </c>
      <c r="BK243" t="s">
        <v>95</v>
      </c>
      <c r="BL243" t="s">
        <v>243</v>
      </c>
      <c r="BM243" t="s">
        <v>3950</v>
      </c>
      <c r="BN243" t="s">
        <v>74</v>
      </c>
      <c r="BO243" t="s">
        <v>74</v>
      </c>
      <c r="BP243" t="s">
        <v>74</v>
      </c>
      <c r="BQ243" t="s">
        <v>74</v>
      </c>
      <c r="BR243" t="s">
        <v>97</v>
      </c>
      <c r="BS243" t="s">
        <v>3975</v>
      </c>
      <c r="BT243" t="str">
        <f>HYPERLINK("https%3A%2F%2Fwww.webofscience.com%2Fwos%2Fwoscc%2Ffull-record%2FWOS:000228257700009","View Full Record in Web of Science")</f>
        <v>View Full Record in Web of Science</v>
      </c>
    </row>
    <row r="244" spans="1:72" x14ac:dyDescent="0.15">
      <c r="A244" t="s">
        <v>72</v>
      </c>
      <c r="B244" t="s">
        <v>3976</v>
      </c>
      <c r="C244" t="s">
        <v>74</v>
      </c>
      <c r="D244" t="s">
        <v>74</v>
      </c>
      <c r="E244" t="s">
        <v>74</v>
      </c>
      <c r="F244" t="s">
        <v>3976</v>
      </c>
      <c r="G244" t="s">
        <v>74</v>
      </c>
      <c r="H244" t="s">
        <v>74</v>
      </c>
      <c r="I244" t="s">
        <v>3977</v>
      </c>
      <c r="J244" t="s">
        <v>3978</v>
      </c>
      <c r="K244" t="s">
        <v>74</v>
      </c>
      <c r="L244" t="s">
        <v>74</v>
      </c>
      <c r="M244" t="s">
        <v>291</v>
      </c>
      <c r="N244" t="s">
        <v>78</v>
      </c>
      <c r="O244" t="s">
        <v>74</v>
      </c>
      <c r="P244" t="s">
        <v>74</v>
      </c>
      <c r="Q244" t="s">
        <v>74</v>
      </c>
      <c r="R244" t="s">
        <v>74</v>
      </c>
      <c r="S244" t="s">
        <v>74</v>
      </c>
      <c r="T244" t="s">
        <v>3979</v>
      </c>
      <c r="U244" t="s">
        <v>3980</v>
      </c>
      <c r="V244" t="s">
        <v>3981</v>
      </c>
      <c r="W244" t="s">
        <v>3982</v>
      </c>
      <c r="X244" t="s">
        <v>3983</v>
      </c>
      <c r="Y244" t="s">
        <v>3984</v>
      </c>
      <c r="Z244" t="s">
        <v>74</v>
      </c>
      <c r="AA244" t="s">
        <v>3985</v>
      </c>
      <c r="AB244" t="s">
        <v>3986</v>
      </c>
      <c r="AC244" t="s">
        <v>74</v>
      </c>
      <c r="AD244" t="s">
        <v>74</v>
      </c>
      <c r="AE244" t="s">
        <v>74</v>
      </c>
      <c r="AF244" t="s">
        <v>74</v>
      </c>
      <c r="AG244">
        <v>12</v>
      </c>
      <c r="AH244">
        <v>5</v>
      </c>
      <c r="AI244">
        <v>5</v>
      </c>
      <c r="AJ244">
        <v>0</v>
      </c>
      <c r="AK244">
        <v>4</v>
      </c>
      <c r="AL244" t="s">
        <v>3987</v>
      </c>
      <c r="AM244" t="s">
        <v>3988</v>
      </c>
      <c r="AN244" t="s">
        <v>3989</v>
      </c>
      <c r="AO244" t="s">
        <v>3990</v>
      </c>
      <c r="AP244" t="s">
        <v>74</v>
      </c>
      <c r="AQ244" t="s">
        <v>74</v>
      </c>
      <c r="AR244" t="s">
        <v>3991</v>
      </c>
      <c r="AS244" t="s">
        <v>3992</v>
      </c>
      <c r="AT244" t="s">
        <v>2826</v>
      </c>
      <c r="AU244">
        <v>2005</v>
      </c>
      <c r="AV244">
        <v>41</v>
      </c>
      <c r="AW244">
        <v>3</v>
      </c>
      <c r="AX244" t="s">
        <v>74</v>
      </c>
      <c r="AY244" t="s">
        <v>74</v>
      </c>
      <c r="AZ244" t="s">
        <v>74</v>
      </c>
      <c r="BA244" t="s">
        <v>74</v>
      </c>
      <c r="BB244">
        <v>175</v>
      </c>
      <c r="BC244">
        <v>185</v>
      </c>
      <c r="BD244" t="s">
        <v>74</v>
      </c>
      <c r="BE244" t="s">
        <v>74</v>
      </c>
      <c r="BF244" t="s">
        <v>74</v>
      </c>
      <c r="BG244" t="s">
        <v>74</v>
      </c>
      <c r="BH244" t="s">
        <v>74</v>
      </c>
      <c r="BI244">
        <v>11</v>
      </c>
      <c r="BJ244" t="s">
        <v>3993</v>
      </c>
      <c r="BK244" t="s">
        <v>95</v>
      </c>
      <c r="BL244" t="s">
        <v>3993</v>
      </c>
      <c r="BM244" t="s">
        <v>3994</v>
      </c>
      <c r="BN244" t="s">
        <v>74</v>
      </c>
      <c r="BO244" t="s">
        <v>74</v>
      </c>
      <c r="BP244" t="s">
        <v>74</v>
      </c>
      <c r="BQ244" t="s">
        <v>74</v>
      </c>
      <c r="BR244" t="s">
        <v>97</v>
      </c>
      <c r="BS244" t="s">
        <v>3995</v>
      </c>
      <c r="BT244" t="str">
        <f>HYPERLINK("https%3A%2F%2Fwww.webofscience.com%2Fwos%2Fwoscc%2Ffull-record%2FWOS:000231329500004","View Full Record in Web of Science")</f>
        <v>View Full Record in Web of Science</v>
      </c>
    </row>
    <row r="245" spans="1:72" x14ac:dyDescent="0.15">
      <c r="A245" t="s">
        <v>72</v>
      </c>
      <c r="B245" t="s">
        <v>3996</v>
      </c>
      <c r="C245" t="s">
        <v>74</v>
      </c>
      <c r="D245" t="s">
        <v>74</v>
      </c>
      <c r="E245" t="s">
        <v>74</v>
      </c>
      <c r="F245" t="s">
        <v>3996</v>
      </c>
      <c r="G245" t="s">
        <v>74</v>
      </c>
      <c r="H245" t="s">
        <v>74</v>
      </c>
      <c r="I245" t="s">
        <v>3997</v>
      </c>
      <c r="J245" t="s">
        <v>3998</v>
      </c>
      <c r="K245" t="s">
        <v>74</v>
      </c>
      <c r="L245" t="s">
        <v>74</v>
      </c>
      <c r="M245" t="s">
        <v>77</v>
      </c>
      <c r="N245" t="s">
        <v>78</v>
      </c>
      <c r="O245" t="s">
        <v>74</v>
      </c>
      <c r="P245" t="s">
        <v>74</v>
      </c>
      <c r="Q245" t="s">
        <v>74</v>
      </c>
      <c r="R245" t="s">
        <v>74</v>
      </c>
      <c r="S245" t="s">
        <v>74</v>
      </c>
      <c r="T245" t="s">
        <v>74</v>
      </c>
      <c r="U245" t="s">
        <v>3999</v>
      </c>
      <c r="V245" t="s">
        <v>4000</v>
      </c>
      <c r="W245" t="s">
        <v>4001</v>
      </c>
      <c r="X245" t="s">
        <v>4002</v>
      </c>
      <c r="Y245" t="s">
        <v>4003</v>
      </c>
      <c r="Z245" t="s">
        <v>4004</v>
      </c>
      <c r="AA245" t="s">
        <v>74</v>
      </c>
      <c r="AB245" t="s">
        <v>74</v>
      </c>
      <c r="AC245" t="s">
        <v>74</v>
      </c>
      <c r="AD245" t="s">
        <v>74</v>
      </c>
      <c r="AE245" t="s">
        <v>74</v>
      </c>
      <c r="AF245" t="s">
        <v>74</v>
      </c>
      <c r="AG245">
        <v>11</v>
      </c>
      <c r="AH245">
        <v>1</v>
      </c>
      <c r="AI245">
        <v>1</v>
      </c>
      <c r="AJ245">
        <v>0</v>
      </c>
      <c r="AK245">
        <v>0</v>
      </c>
      <c r="AL245" t="s">
        <v>4005</v>
      </c>
      <c r="AM245" t="s">
        <v>4006</v>
      </c>
      <c r="AN245" t="s">
        <v>4007</v>
      </c>
      <c r="AO245" t="s">
        <v>4008</v>
      </c>
      <c r="AP245" t="s">
        <v>4009</v>
      </c>
      <c r="AQ245" t="s">
        <v>74</v>
      </c>
      <c r="AR245" t="s">
        <v>4010</v>
      </c>
      <c r="AS245" t="s">
        <v>4011</v>
      </c>
      <c r="AT245" t="s">
        <v>2826</v>
      </c>
      <c r="AU245">
        <v>2005</v>
      </c>
      <c r="AV245">
        <v>101</v>
      </c>
      <c r="AW245" t="s">
        <v>4012</v>
      </c>
      <c r="AX245" t="s">
        <v>74</v>
      </c>
      <c r="AY245" t="s">
        <v>74</v>
      </c>
      <c r="AZ245" t="s">
        <v>74</v>
      </c>
      <c r="BA245" t="s">
        <v>74</v>
      </c>
      <c r="BB245">
        <v>281</v>
      </c>
      <c r="BC245">
        <v>284</v>
      </c>
      <c r="BD245" t="s">
        <v>74</v>
      </c>
      <c r="BE245" t="s">
        <v>74</v>
      </c>
      <c r="BF245" t="s">
        <v>74</v>
      </c>
      <c r="BG245" t="s">
        <v>74</v>
      </c>
      <c r="BH245" t="s">
        <v>74</v>
      </c>
      <c r="BI245">
        <v>4</v>
      </c>
      <c r="BJ245" t="s">
        <v>682</v>
      </c>
      <c r="BK245" t="s">
        <v>95</v>
      </c>
      <c r="BL245" t="s">
        <v>683</v>
      </c>
      <c r="BM245" t="s">
        <v>4013</v>
      </c>
      <c r="BN245" t="s">
        <v>74</v>
      </c>
      <c r="BO245" t="s">
        <v>74</v>
      </c>
      <c r="BP245" t="s">
        <v>74</v>
      </c>
      <c r="BQ245" t="s">
        <v>74</v>
      </c>
      <c r="BR245" t="s">
        <v>97</v>
      </c>
      <c r="BS245" t="s">
        <v>4014</v>
      </c>
      <c r="BT245" t="str">
        <f>HYPERLINK("https%3A%2F%2Fwww.webofscience.com%2Fwos%2Fwoscc%2Ffull-record%2FWOS:000232743800024","View Full Record in Web of Science")</f>
        <v>View Full Record in Web of Science</v>
      </c>
    </row>
    <row r="246" spans="1:72" x14ac:dyDescent="0.15">
      <c r="A246" t="s">
        <v>72</v>
      </c>
      <c r="B246" t="s">
        <v>4015</v>
      </c>
      <c r="C246" t="s">
        <v>74</v>
      </c>
      <c r="D246" t="s">
        <v>74</v>
      </c>
      <c r="E246" t="s">
        <v>74</v>
      </c>
      <c r="F246" t="s">
        <v>4015</v>
      </c>
      <c r="G246" t="s">
        <v>74</v>
      </c>
      <c r="H246" t="s">
        <v>74</v>
      </c>
      <c r="I246" t="s">
        <v>4016</v>
      </c>
      <c r="J246" t="s">
        <v>4017</v>
      </c>
      <c r="K246" t="s">
        <v>74</v>
      </c>
      <c r="L246" t="s">
        <v>74</v>
      </c>
      <c r="M246" t="s">
        <v>77</v>
      </c>
      <c r="N246" t="s">
        <v>78</v>
      </c>
      <c r="O246" t="s">
        <v>74</v>
      </c>
      <c r="P246" t="s">
        <v>74</v>
      </c>
      <c r="Q246" t="s">
        <v>74</v>
      </c>
      <c r="R246" t="s">
        <v>74</v>
      </c>
      <c r="S246" t="s">
        <v>74</v>
      </c>
      <c r="T246" t="s">
        <v>4018</v>
      </c>
      <c r="U246" t="s">
        <v>4019</v>
      </c>
      <c r="V246" t="s">
        <v>4020</v>
      </c>
      <c r="W246" t="s">
        <v>4021</v>
      </c>
      <c r="X246" t="s">
        <v>4022</v>
      </c>
      <c r="Y246" t="s">
        <v>4023</v>
      </c>
      <c r="Z246" t="s">
        <v>4024</v>
      </c>
      <c r="AA246" t="s">
        <v>74</v>
      </c>
      <c r="AB246" t="s">
        <v>4025</v>
      </c>
      <c r="AC246" t="s">
        <v>74</v>
      </c>
      <c r="AD246" t="s">
        <v>74</v>
      </c>
      <c r="AE246" t="s">
        <v>74</v>
      </c>
      <c r="AF246" t="s">
        <v>74</v>
      </c>
      <c r="AG246">
        <v>29</v>
      </c>
      <c r="AH246">
        <v>102</v>
      </c>
      <c r="AI246">
        <v>108</v>
      </c>
      <c r="AJ246">
        <v>1</v>
      </c>
      <c r="AK246">
        <v>24</v>
      </c>
      <c r="AL246" t="s">
        <v>456</v>
      </c>
      <c r="AM246" t="s">
        <v>436</v>
      </c>
      <c r="AN246" t="s">
        <v>457</v>
      </c>
      <c r="AO246" t="s">
        <v>4026</v>
      </c>
      <c r="AP246" t="s">
        <v>4027</v>
      </c>
      <c r="AQ246" t="s">
        <v>74</v>
      </c>
      <c r="AR246" t="s">
        <v>4017</v>
      </c>
      <c r="AS246" t="s">
        <v>4028</v>
      </c>
      <c r="AT246" t="s">
        <v>4029</v>
      </c>
      <c r="AU246">
        <v>2005</v>
      </c>
      <c r="AV246">
        <v>67</v>
      </c>
      <c r="AW246" t="s">
        <v>961</v>
      </c>
      <c r="AX246" t="s">
        <v>74</v>
      </c>
      <c r="AY246" t="s">
        <v>74</v>
      </c>
      <c r="AZ246" t="s">
        <v>74</v>
      </c>
      <c r="BA246" t="s">
        <v>74</v>
      </c>
      <c r="BB246">
        <v>317</v>
      </c>
      <c r="BC246">
        <v>334</v>
      </c>
      <c r="BD246" t="s">
        <v>74</v>
      </c>
      <c r="BE246" t="s">
        <v>4030</v>
      </c>
      <c r="BF246" t="str">
        <f>HYPERLINK("http://dx.doi.org/10.1016/j.geomorph.2004.10.007","http://dx.doi.org/10.1016/j.geomorph.2004.10.007")</f>
        <v>http://dx.doi.org/10.1016/j.geomorph.2004.10.007</v>
      </c>
      <c r="BG246" t="s">
        <v>74</v>
      </c>
      <c r="BH246" t="s">
        <v>74</v>
      </c>
      <c r="BI246">
        <v>18</v>
      </c>
      <c r="BJ246" t="s">
        <v>242</v>
      </c>
      <c r="BK246" t="s">
        <v>95</v>
      </c>
      <c r="BL246" t="s">
        <v>243</v>
      </c>
      <c r="BM246" t="s">
        <v>4031</v>
      </c>
      <c r="BN246" t="s">
        <v>74</v>
      </c>
      <c r="BO246" t="s">
        <v>74</v>
      </c>
      <c r="BP246" t="s">
        <v>74</v>
      </c>
      <c r="BQ246" t="s">
        <v>74</v>
      </c>
      <c r="BR246" t="s">
        <v>97</v>
      </c>
      <c r="BS246" t="s">
        <v>4032</v>
      </c>
      <c r="BT246" t="str">
        <f>HYPERLINK("https%3A%2F%2Fwww.webofscience.com%2Fwos%2Fwoscc%2Ffull-record%2FWOS:000229375400004","View Full Record in Web of Science")</f>
        <v>View Full Record in Web of Science</v>
      </c>
    </row>
    <row r="247" spans="1:72" x14ac:dyDescent="0.15">
      <c r="A247" t="s">
        <v>72</v>
      </c>
      <c r="B247" t="s">
        <v>4033</v>
      </c>
      <c r="C247" t="s">
        <v>74</v>
      </c>
      <c r="D247" t="s">
        <v>74</v>
      </c>
      <c r="E247" t="s">
        <v>74</v>
      </c>
      <c r="F247" t="s">
        <v>4033</v>
      </c>
      <c r="G247" t="s">
        <v>74</v>
      </c>
      <c r="H247" t="s">
        <v>74</v>
      </c>
      <c r="I247" t="s">
        <v>4034</v>
      </c>
      <c r="J247" t="s">
        <v>947</v>
      </c>
      <c r="K247" t="s">
        <v>74</v>
      </c>
      <c r="L247" t="s">
        <v>74</v>
      </c>
      <c r="M247" t="s">
        <v>77</v>
      </c>
      <c r="N247" t="s">
        <v>78</v>
      </c>
      <c r="O247" t="s">
        <v>74</v>
      </c>
      <c r="P247" t="s">
        <v>74</v>
      </c>
      <c r="Q247" t="s">
        <v>74</v>
      </c>
      <c r="R247" t="s">
        <v>74</v>
      </c>
      <c r="S247" t="s">
        <v>74</v>
      </c>
      <c r="T247" t="s">
        <v>4035</v>
      </c>
      <c r="U247" t="s">
        <v>4036</v>
      </c>
      <c r="V247" t="s">
        <v>4037</v>
      </c>
      <c r="W247" t="s">
        <v>4038</v>
      </c>
      <c r="X247" t="s">
        <v>3969</v>
      </c>
      <c r="Y247" t="s">
        <v>4039</v>
      </c>
      <c r="Z247" t="s">
        <v>4040</v>
      </c>
      <c r="AA247" t="s">
        <v>74</v>
      </c>
      <c r="AB247" t="s">
        <v>4041</v>
      </c>
      <c r="AC247" t="s">
        <v>74</v>
      </c>
      <c r="AD247" t="s">
        <v>74</v>
      </c>
      <c r="AE247" t="s">
        <v>74</v>
      </c>
      <c r="AF247" t="s">
        <v>74</v>
      </c>
      <c r="AG247">
        <v>35</v>
      </c>
      <c r="AH247">
        <v>8</v>
      </c>
      <c r="AI247">
        <v>9</v>
      </c>
      <c r="AJ247">
        <v>0</v>
      </c>
      <c r="AK247">
        <v>5</v>
      </c>
      <c r="AL247" t="s">
        <v>456</v>
      </c>
      <c r="AM247" t="s">
        <v>436</v>
      </c>
      <c r="AN247" t="s">
        <v>457</v>
      </c>
      <c r="AO247" t="s">
        <v>957</v>
      </c>
      <c r="AP247" t="s">
        <v>74</v>
      </c>
      <c r="AQ247" t="s">
        <v>74</v>
      </c>
      <c r="AR247" t="s">
        <v>959</v>
      </c>
      <c r="AS247" t="s">
        <v>960</v>
      </c>
      <c r="AT247" t="s">
        <v>4029</v>
      </c>
      <c r="AU247">
        <v>2005</v>
      </c>
      <c r="AV247">
        <v>216</v>
      </c>
      <c r="AW247">
        <v>3</v>
      </c>
      <c r="AX247" t="s">
        <v>74</v>
      </c>
      <c r="AY247" t="s">
        <v>74</v>
      </c>
      <c r="AZ247" t="s">
        <v>74</v>
      </c>
      <c r="BA247" t="s">
        <v>74</v>
      </c>
      <c r="BB247">
        <v>145</v>
      </c>
      <c r="BC247">
        <v>154</v>
      </c>
      <c r="BD247" t="s">
        <v>74</v>
      </c>
      <c r="BE247" t="s">
        <v>4042</v>
      </c>
      <c r="BF247" t="str">
        <f>HYPERLINK("http://dx.doi.org/10.1016/j.margeo.2005.02.008","http://dx.doi.org/10.1016/j.margeo.2005.02.008")</f>
        <v>http://dx.doi.org/10.1016/j.margeo.2005.02.008</v>
      </c>
      <c r="BG247" t="s">
        <v>74</v>
      </c>
      <c r="BH247" t="s">
        <v>74</v>
      </c>
      <c r="BI247">
        <v>10</v>
      </c>
      <c r="BJ247" t="s">
        <v>963</v>
      </c>
      <c r="BK247" t="s">
        <v>95</v>
      </c>
      <c r="BL247" t="s">
        <v>964</v>
      </c>
      <c r="BM247" t="s">
        <v>4043</v>
      </c>
      <c r="BN247" t="s">
        <v>74</v>
      </c>
      <c r="BO247" t="s">
        <v>74</v>
      </c>
      <c r="BP247" t="s">
        <v>74</v>
      </c>
      <c r="BQ247" t="s">
        <v>74</v>
      </c>
      <c r="BR247" t="s">
        <v>97</v>
      </c>
      <c r="BS247" t="s">
        <v>4044</v>
      </c>
      <c r="BT247" t="str">
        <f>HYPERLINK("https%3A%2F%2Fwww.webofscience.com%2Fwos%2Fwoscc%2Ffull-record%2FWOS:000228594800004","View Full Record in Web of Science")</f>
        <v>View Full Record in Web of Science</v>
      </c>
    </row>
    <row r="248" spans="1:72" x14ac:dyDescent="0.15">
      <c r="A248" t="s">
        <v>72</v>
      </c>
      <c r="B248" t="s">
        <v>4045</v>
      </c>
      <c r="C248" t="s">
        <v>74</v>
      </c>
      <c r="D248" t="s">
        <v>74</v>
      </c>
      <c r="E248" t="s">
        <v>74</v>
      </c>
      <c r="F248" t="s">
        <v>4045</v>
      </c>
      <c r="G248" t="s">
        <v>74</v>
      </c>
      <c r="H248" t="s">
        <v>74</v>
      </c>
      <c r="I248" t="s">
        <v>4046</v>
      </c>
      <c r="J248" t="s">
        <v>4047</v>
      </c>
      <c r="K248" t="s">
        <v>74</v>
      </c>
      <c r="L248" t="s">
        <v>74</v>
      </c>
      <c r="M248" t="s">
        <v>77</v>
      </c>
      <c r="N248" t="s">
        <v>78</v>
      </c>
      <c r="O248" t="s">
        <v>74</v>
      </c>
      <c r="P248" t="s">
        <v>74</v>
      </c>
      <c r="Q248" t="s">
        <v>74</v>
      </c>
      <c r="R248" t="s">
        <v>74</v>
      </c>
      <c r="S248" t="s">
        <v>74</v>
      </c>
      <c r="T248" t="s">
        <v>74</v>
      </c>
      <c r="U248" t="s">
        <v>4048</v>
      </c>
      <c r="V248" t="s">
        <v>4049</v>
      </c>
      <c r="W248" t="s">
        <v>4050</v>
      </c>
      <c r="X248" t="s">
        <v>4051</v>
      </c>
      <c r="Y248" t="s">
        <v>4052</v>
      </c>
      <c r="Z248" t="s">
        <v>74</v>
      </c>
      <c r="AA248" t="s">
        <v>4053</v>
      </c>
      <c r="AB248" t="s">
        <v>4054</v>
      </c>
      <c r="AC248" t="s">
        <v>74</v>
      </c>
      <c r="AD248" t="s">
        <v>74</v>
      </c>
      <c r="AE248" t="s">
        <v>74</v>
      </c>
      <c r="AF248" t="s">
        <v>74</v>
      </c>
      <c r="AG248">
        <v>32</v>
      </c>
      <c r="AH248">
        <v>11</v>
      </c>
      <c r="AI248">
        <v>11</v>
      </c>
      <c r="AJ248">
        <v>0</v>
      </c>
      <c r="AK248">
        <v>11</v>
      </c>
      <c r="AL248" t="s">
        <v>1519</v>
      </c>
      <c r="AM248" t="s">
        <v>528</v>
      </c>
      <c r="AN248" t="s">
        <v>1520</v>
      </c>
      <c r="AO248" t="s">
        <v>4055</v>
      </c>
      <c r="AP248" t="s">
        <v>74</v>
      </c>
      <c r="AQ248" t="s">
        <v>74</v>
      </c>
      <c r="AR248" t="s">
        <v>4056</v>
      </c>
      <c r="AS248" t="s">
        <v>4057</v>
      </c>
      <c r="AT248" t="s">
        <v>4058</v>
      </c>
      <c r="AU248">
        <v>2005</v>
      </c>
      <c r="AV248">
        <v>109</v>
      </c>
      <c r="AW248">
        <v>16</v>
      </c>
      <c r="AX248" t="s">
        <v>74</v>
      </c>
      <c r="AY248" t="s">
        <v>74</v>
      </c>
      <c r="AZ248" t="s">
        <v>74</v>
      </c>
      <c r="BA248" t="s">
        <v>74</v>
      </c>
      <c r="BB248">
        <v>7941</v>
      </c>
      <c r="BC248">
        <v>7947</v>
      </c>
      <c r="BD248" t="s">
        <v>74</v>
      </c>
      <c r="BE248" t="s">
        <v>4059</v>
      </c>
      <c r="BF248" t="str">
        <f>HYPERLINK("http://dx.doi.org/10.1021/jp044368k","http://dx.doi.org/10.1021/jp044368k")</f>
        <v>http://dx.doi.org/10.1021/jp044368k</v>
      </c>
      <c r="BG248" t="s">
        <v>74</v>
      </c>
      <c r="BH248" t="s">
        <v>74</v>
      </c>
      <c r="BI248">
        <v>7</v>
      </c>
      <c r="BJ248" t="s">
        <v>4060</v>
      </c>
      <c r="BK248" t="s">
        <v>95</v>
      </c>
      <c r="BL248" t="s">
        <v>4061</v>
      </c>
      <c r="BM248" t="s">
        <v>4062</v>
      </c>
      <c r="BN248">
        <v>16851927</v>
      </c>
      <c r="BO248" t="s">
        <v>74</v>
      </c>
      <c r="BP248" t="s">
        <v>74</v>
      </c>
      <c r="BQ248" t="s">
        <v>74</v>
      </c>
      <c r="BR248" t="s">
        <v>97</v>
      </c>
      <c r="BS248" t="s">
        <v>4063</v>
      </c>
      <c r="BT248" t="str">
        <f>HYPERLINK("https%3A%2F%2Fwww.webofscience.com%2Fwos%2Fwoscc%2Ffull-record%2FWOS:000228603700051","View Full Record in Web of Science")</f>
        <v>View Full Record in Web of Science</v>
      </c>
    </row>
    <row r="249" spans="1:72" x14ac:dyDescent="0.15">
      <c r="A249" t="s">
        <v>72</v>
      </c>
      <c r="B249" t="s">
        <v>4064</v>
      </c>
      <c r="C249" t="s">
        <v>74</v>
      </c>
      <c r="D249" t="s">
        <v>74</v>
      </c>
      <c r="E249" t="s">
        <v>74</v>
      </c>
      <c r="F249" t="s">
        <v>4064</v>
      </c>
      <c r="G249" t="s">
        <v>74</v>
      </c>
      <c r="H249" t="s">
        <v>74</v>
      </c>
      <c r="I249" t="s">
        <v>4065</v>
      </c>
      <c r="J249" t="s">
        <v>1868</v>
      </c>
      <c r="K249" t="s">
        <v>74</v>
      </c>
      <c r="L249" t="s">
        <v>74</v>
      </c>
      <c r="M249" t="s">
        <v>77</v>
      </c>
      <c r="N249" t="s">
        <v>78</v>
      </c>
      <c r="O249" t="s">
        <v>74</v>
      </c>
      <c r="P249" t="s">
        <v>74</v>
      </c>
      <c r="Q249" t="s">
        <v>74</v>
      </c>
      <c r="R249" t="s">
        <v>74</v>
      </c>
      <c r="S249" t="s">
        <v>74</v>
      </c>
      <c r="T249" t="s">
        <v>74</v>
      </c>
      <c r="U249" t="s">
        <v>4066</v>
      </c>
      <c r="V249" t="s">
        <v>4067</v>
      </c>
      <c r="W249" t="s">
        <v>4068</v>
      </c>
      <c r="X249" t="s">
        <v>4069</v>
      </c>
      <c r="Y249" t="s">
        <v>4070</v>
      </c>
      <c r="Z249" t="s">
        <v>4071</v>
      </c>
      <c r="AA249" t="s">
        <v>4072</v>
      </c>
      <c r="AB249" t="s">
        <v>4073</v>
      </c>
      <c r="AC249" t="s">
        <v>74</v>
      </c>
      <c r="AD249" t="s">
        <v>74</v>
      </c>
      <c r="AE249" t="s">
        <v>74</v>
      </c>
      <c r="AF249" t="s">
        <v>74</v>
      </c>
      <c r="AG249">
        <v>30</v>
      </c>
      <c r="AH249">
        <v>32</v>
      </c>
      <c r="AI249">
        <v>34</v>
      </c>
      <c r="AJ249">
        <v>0</v>
      </c>
      <c r="AK249">
        <v>8</v>
      </c>
      <c r="AL249" t="s">
        <v>527</v>
      </c>
      <c r="AM249" t="s">
        <v>528</v>
      </c>
      <c r="AN249" t="s">
        <v>529</v>
      </c>
      <c r="AO249" t="s">
        <v>1877</v>
      </c>
      <c r="AP249" t="s">
        <v>1878</v>
      </c>
      <c r="AQ249" t="s">
        <v>74</v>
      </c>
      <c r="AR249" t="s">
        <v>1879</v>
      </c>
      <c r="AS249" t="s">
        <v>1880</v>
      </c>
      <c r="AT249" t="s">
        <v>4074</v>
      </c>
      <c r="AU249">
        <v>2005</v>
      </c>
      <c r="AV249">
        <v>110</v>
      </c>
      <c r="AW249" t="s">
        <v>4075</v>
      </c>
      <c r="AX249" t="s">
        <v>74</v>
      </c>
      <c r="AY249" t="s">
        <v>74</v>
      </c>
      <c r="AZ249" t="s">
        <v>74</v>
      </c>
      <c r="BA249" t="s">
        <v>74</v>
      </c>
      <c r="BB249" t="s">
        <v>74</v>
      </c>
      <c r="BC249" t="s">
        <v>74</v>
      </c>
      <c r="BD249" t="s">
        <v>4076</v>
      </c>
      <c r="BE249" t="s">
        <v>4077</v>
      </c>
      <c r="BF249" t="str">
        <f>HYPERLINK("http://dx.doi.org/10.1029/2004JD005552","http://dx.doi.org/10.1029/2004JD005552")</f>
        <v>http://dx.doi.org/10.1029/2004JD005552</v>
      </c>
      <c r="BG249" t="s">
        <v>74</v>
      </c>
      <c r="BH249" t="s">
        <v>74</v>
      </c>
      <c r="BI249">
        <v>8</v>
      </c>
      <c r="BJ249" t="s">
        <v>401</v>
      </c>
      <c r="BK249" t="s">
        <v>95</v>
      </c>
      <c r="BL249" t="s">
        <v>401</v>
      </c>
      <c r="BM249" t="s">
        <v>4078</v>
      </c>
      <c r="BN249" t="s">
        <v>74</v>
      </c>
      <c r="BO249" t="s">
        <v>539</v>
      </c>
      <c r="BP249" t="s">
        <v>74</v>
      </c>
      <c r="BQ249" t="s">
        <v>74</v>
      </c>
      <c r="BR249" t="s">
        <v>97</v>
      </c>
      <c r="BS249" t="s">
        <v>4079</v>
      </c>
      <c r="BT249" t="str">
        <f>HYPERLINK("https%3A%2F%2Fwww.webofscience.com%2Fwos%2Fwoscc%2Ffull-record%2FWOS:000228897500010","View Full Record in Web of Science")</f>
        <v>View Full Record in Web of Science</v>
      </c>
    </row>
    <row r="250" spans="1:72" x14ac:dyDescent="0.15">
      <c r="A250" t="s">
        <v>72</v>
      </c>
      <c r="B250" t="s">
        <v>4080</v>
      </c>
      <c r="C250" t="s">
        <v>74</v>
      </c>
      <c r="D250" t="s">
        <v>74</v>
      </c>
      <c r="E250" t="s">
        <v>74</v>
      </c>
      <c r="F250" t="s">
        <v>4080</v>
      </c>
      <c r="G250" t="s">
        <v>74</v>
      </c>
      <c r="H250" t="s">
        <v>74</v>
      </c>
      <c r="I250" t="s">
        <v>4081</v>
      </c>
      <c r="J250" t="s">
        <v>668</v>
      </c>
      <c r="K250" t="s">
        <v>74</v>
      </c>
      <c r="L250" t="s">
        <v>74</v>
      </c>
      <c r="M250" t="s">
        <v>77</v>
      </c>
      <c r="N250" t="s">
        <v>78</v>
      </c>
      <c r="O250" t="s">
        <v>74</v>
      </c>
      <c r="P250" t="s">
        <v>74</v>
      </c>
      <c r="Q250" t="s">
        <v>74</v>
      </c>
      <c r="R250" t="s">
        <v>74</v>
      </c>
      <c r="S250" t="s">
        <v>74</v>
      </c>
      <c r="T250" t="s">
        <v>74</v>
      </c>
      <c r="U250" t="s">
        <v>4082</v>
      </c>
      <c r="V250" t="s">
        <v>4083</v>
      </c>
      <c r="W250" t="s">
        <v>4084</v>
      </c>
      <c r="X250" t="s">
        <v>4085</v>
      </c>
      <c r="Y250" t="s">
        <v>2616</v>
      </c>
      <c r="Z250" t="s">
        <v>4086</v>
      </c>
      <c r="AA250" t="s">
        <v>674</v>
      </c>
      <c r="AB250" t="s">
        <v>675</v>
      </c>
      <c r="AC250" t="s">
        <v>74</v>
      </c>
      <c r="AD250" t="s">
        <v>74</v>
      </c>
      <c r="AE250" t="s">
        <v>74</v>
      </c>
      <c r="AF250" t="s">
        <v>74</v>
      </c>
      <c r="AG250">
        <v>27</v>
      </c>
      <c r="AH250">
        <v>599</v>
      </c>
      <c r="AI250">
        <v>673</v>
      </c>
      <c r="AJ250">
        <v>2</v>
      </c>
      <c r="AK250">
        <v>134</v>
      </c>
      <c r="AL250" t="s">
        <v>676</v>
      </c>
      <c r="AM250" t="s">
        <v>528</v>
      </c>
      <c r="AN250" t="s">
        <v>677</v>
      </c>
      <c r="AO250" t="s">
        <v>678</v>
      </c>
      <c r="AP250" t="s">
        <v>696</v>
      </c>
      <c r="AQ250" t="s">
        <v>74</v>
      </c>
      <c r="AR250" t="s">
        <v>668</v>
      </c>
      <c r="AS250" t="s">
        <v>679</v>
      </c>
      <c r="AT250" t="s">
        <v>4087</v>
      </c>
      <c r="AU250">
        <v>2005</v>
      </c>
      <c r="AV250">
        <v>308</v>
      </c>
      <c r="AW250">
        <v>5721</v>
      </c>
      <c r="AX250" t="s">
        <v>74</v>
      </c>
      <c r="AY250" t="s">
        <v>74</v>
      </c>
      <c r="AZ250" t="s">
        <v>74</v>
      </c>
      <c r="BA250" t="s">
        <v>74</v>
      </c>
      <c r="BB250">
        <v>541</v>
      </c>
      <c r="BC250">
        <v>544</v>
      </c>
      <c r="BD250" t="s">
        <v>74</v>
      </c>
      <c r="BE250" t="s">
        <v>4088</v>
      </c>
      <c r="BF250" t="str">
        <f>HYPERLINK("http://dx.doi.org/10.1126/science.1104235","http://dx.doi.org/10.1126/science.1104235")</f>
        <v>http://dx.doi.org/10.1126/science.1104235</v>
      </c>
      <c r="BG250" t="s">
        <v>74</v>
      </c>
      <c r="BH250" t="s">
        <v>74</v>
      </c>
      <c r="BI250">
        <v>4</v>
      </c>
      <c r="BJ250" t="s">
        <v>682</v>
      </c>
      <c r="BK250" t="s">
        <v>95</v>
      </c>
      <c r="BL250" t="s">
        <v>683</v>
      </c>
      <c r="BM250" t="s">
        <v>4089</v>
      </c>
      <c r="BN250">
        <v>15845851</v>
      </c>
      <c r="BO250" t="s">
        <v>74</v>
      </c>
      <c r="BP250" t="s">
        <v>74</v>
      </c>
      <c r="BQ250" t="s">
        <v>74</v>
      </c>
      <c r="BR250" t="s">
        <v>97</v>
      </c>
      <c r="BS250" t="s">
        <v>4090</v>
      </c>
      <c r="BT250" t="str">
        <f>HYPERLINK("https%3A%2F%2Fwww.webofscience.com%2Fwos%2Fwoscc%2Ffull-record%2FWOS:000228810500049","View Full Record in Web of Science")</f>
        <v>View Full Record in Web of Science</v>
      </c>
    </row>
    <row r="251" spans="1:72" x14ac:dyDescent="0.15">
      <c r="A251" t="s">
        <v>72</v>
      </c>
      <c r="B251" t="s">
        <v>4091</v>
      </c>
      <c r="C251" t="s">
        <v>74</v>
      </c>
      <c r="D251" t="s">
        <v>74</v>
      </c>
      <c r="E251" t="s">
        <v>74</v>
      </c>
      <c r="F251" t="s">
        <v>4091</v>
      </c>
      <c r="G251" t="s">
        <v>74</v>
      </c>
      <c r="H251" t="s">
        <v>74</v>
      </c>
      <c r="I251" t="s">
        <v>4092</v>
      </c>
      <c r="J251" t="s">
        <v>519</v>
      </c>
      <c r="K251" t="s">
        <v>74</v>
      </c>
      <c r="L251" t="s">
        <v>74</v>
      </c>
      <c r="M251" t="s">
        <v>77</v>
      </c>
      <c r="N251" t="s">
        <v>78</v>
      </c>
      <c r="O251" t="s">
        <v>74</v>
      </c>
      <c r="P251" t="s">
        <v>74</v>
      </c>
      <c r="Q251" t="s">
        <v>74</v>
      </c>
      <c r="R251" t="s">
        <v>74</v>
      </c>
      <c r="S251" t="s">
        <v>74</v>
      </c>
      <c r="T251" t="s">
        <v>74</v>
      </c>
      <c r="U251" t="s">
        <v>4093</v>
      </c>
      <c r="V251" t="s">
        <v>4094</v>
      </c>
      <c r="W251" t="s">
        <v>4095</v>
      </c>
      <c r="X251" t="s">
        <v>4096</v>
      </c>
      <c r="Y251" t="s">
        <v>4097</v>
      </c>
      <c r="Z251" t="s">
        <v>4098</v>
      </c>
      <c r="AA251" t="s">
        <v>4099</v>
      </c>
      <c r="AB251" t="s">
        <v>74</v>
      </c>
      <c r="AC251" t="s">
        <v>74</v>
      </c>
      <c r="AD251" t="s">
        <v>74</v>
      </c>
      <c r="AE251" t="s">
        <v>74</v>
      </c>
      <c r="AF251" t="s">
        <v>74</v>
      </c>
      <c r="AG251">
        <v>18</v>
      </c>
      <c r="AH251">
        <v>40</v>
      </c>
      <c r="AI251">
        <v>40</v>
      </c>
      <c r="AJ251">
        <v>1</v>
      </c>
      <c r="AK251">
        <v>14</v>
      </c>
      <c r="AL251" t="s">
        <v>527</v>
      </c>
      <c r="AM251" t="s">
        <v>528</v>
      </c>
      <c r="AN251" t="s">
        <v>529</v>
      </c>
      <c r="AO251" t="s">
        <v>530</v>
      </c>
      <c r="AP251" t="s">
        <v>531</v>
      </c>
      <c r="AQ251" t="s">
        <v>74</v>
      </c>
      <c r="AR251" t="s">
        <v>532</v>
      </c>
      <c r="AS251" t="s">
        <v>533</v>
      </c>
      <c r="AT251" t="s">
        <v>4100</v>
      </c>
      <c r="AU251">
        <v>2005</v>
      </c>
      <c r="AV251">
        <v>32</v>
      </c>
      <c r="AW251">
        <v>8</v>
      </c>
      <c r="AX251" t="s">
        <v>74</v>
      </c>
      <c r="AY251" t="s">
        <v>74</v>
      </c>
      <c r="AZ251" t="s">
        <v>74</v>
      </c>
      <c r="BA251" t="s">
        <v>74</v>
      </c>
      <c r="BB251" t="s">
        <v>74</v>
      </c>
      <c r="BC251" t="s">
        <v>74</v>
      </c>
      <c r="BD251" t="s">
        <v>4101</v>
      </c>
      <c r="BE251" t="s">
        <v>4102</v>
      </c>
      <c r="BF251" t="str">
        <f>HYPERLINK("http://dx.doi.org/10.1029/2004GL022070","http://dx.doi.org/10.1029/2004GL022070")</f>
        <v>http://dx.doi.org/10.1029/2004GL022070</v>
      </c>
      <c r="BG251" t="s">
        <v>74</v>
      </c>
      <c r="BH251" t="s">
        <v>74</v>
      </c>
      <c r="BI251">
        <v>4</v>
      </c>
      <c r="BJ251" t="s">
        <v>537</v>
      </c>
      <c r="BK251" t="s">
        <v>95</v>
      </c>
      <c r="BL251" t="s">
        <v>307</v>
      </c>
      <c r="BM251" t="s">
        <v>4103</v>
      </c>
      <c r="BN251" t="s">
        <v>74</v>
      </c>
      <c r="BO251" t="s">
        <v>613</v>
      </c>
      <c r="BP251" t="s">
        <v>74</v>
      </c>
      <c r="BQ251" t="s">
        <v>74</v>
      </c>
      <c r="BR251" t="s">
        <v>97</v>
      </c>
      <c r="BS251" t="s">
        <v>4104</v>
      </c>
      <c r="BT251" t="str">
        <f>HYPERLINK("https%3A%2F%2Fwww.webofscience.com%2Fwos%2Fwoscc%2Ffull-record%2FWOS:000228851300002","View Full Record in Web of Science")</f>
        <v>View Full Record in Web of Science</v>
      </c>
    </row>
    <row r="252" spans="1:72" x14ac:dyDescent="0.15">
      <c r="A252" t="s">
        <v>72</v>
      </c>
      <c r="B252" t="s">
        <v>4105</v>
      </c>
      <c r="C252" t="s">
        <v>74</v>
      </c>
      <c r="D252" t="s">
        <v>74</v>
      </c>
      <c r="E252" t="s">
        <v>74</v>
      </c>
      <c r="F252" t="s">
        <v>4105</v>
      </c>
      <c r="G252" t="s">
        <v>74</v>
      </c>
      <c r="H252" t="s">
        <v>74</v>
      </c>
      <c r="I252" t="s">
        <v>4106</v>
      </c>
      <c r="J252" t="s">
        <v>837</v>
      </c>
      <c r="K252" t="s">
        <v>74</v>
      </c>
      <c r="L252" t="s">
        <v>74</v>
      </c>
      <c r="M252" t="s">
        <v>77</v>
      </c>
      <c r="N252" t="s">
        <v>78</v>
      </c>
      <c r="O252" t="s">
        <v>74</v>
      </c>
      <c r="P252" t="s">
        <v>74</v>
      </c>
      <c r="Q252" t="s">
        <v>74</v>
      </c>
      <c r="R252" t="s">
        <v>74</v>
      </c>
      <c r="S252" t="s">
        <v>74</v>
      </c>
      <c r="T252" t="s">
        <v>74</v>
      </c>
      <c r="U252" t="s">
        <v>4107</v>
      </c>
      <c r="V252" t="s">
        <v>4108</v>
      </c>
      <c r="W252" t="s">
        <v>4109</v>
      </c>
      <c r="X252" t="s">
        <v>671</v>
      </c>
      <c r="Y252" t="s">
        <v>2635</v>
      </c>
      <c r="Z252" t="s">
        <v>4110</v>
      </c>
      <c r="AA252" t="s">
        <v>74</v>
      </c>
      <c r="AB252" t="s">
        <v>74</v>
      </c>
      <c r="AC252" t="s">
        <v>74</v>
      </c>
      <c r="AD252" t="s">
        <v>74</v>
      </c>
      <c r="AE252" t="s">
        <v>74</v>
      </c>
      <c r="AF252" t="s">
        <v>74</v>
      </c>
      <c r="AG252">
        <v>24</v>
      </c>
      <c r="AH252">
        <v>34</v>
      </c>
      <c r="AI252">
        <v>34</v>
      </c>
      <c r="AJ252">
        <v>0</v>
      </c>
      <c r="AK252">
        <v>2</v>
      </c>
      <c r="AL252" t="s">
        <v>527</v>
      </c>
      <c r="AM252" t="s">
        <v>528</v>
      </c>
      <c r="AN252" t="s">
        <v>529</v>
      </c>
      <c r="AO252" t="s">
        <v>846</v>
      </c>
      <c r="AP252" t="s">
        <v>847</v>
      </c>
      <c r="AQ252" t="s">
        <v>74</v>
      </c>
      <c r="AR252" t="s">
        <v>848</v>
      </c>
      <c r="AS252" t="s">
        <v>849</v>
      </c>
      <c r="AT252" t="s">
        <v>4111</v>
      </c>
      <c r="AU252">
        <v>2005</v>
      </c>
      <c r="AV252">
        <v>110</v>
      </c>
      <c r="AW252" t="s">
        <v>4112</v>
      </c>
      <c r="AX252" t="s">
        <v>74</v>
      </c>
      <c r="AY252" t="s">
        <v>74</v>
      </c>
      <c r="AZ252" t="s">
        <v>74</v>
      </c>
      <c r="BA252" t="s">
        <v>74</v>
      </c>
      <c r="BB252" t="s">
        <v>74</v>
      </c>
      <c r="BC252" t="s">
        <v>74</v>
      </c>
      <c r="BD252" t="s">
        <v>4113</v>
      </c>
      <c r="BE252" t="s">
        <v>4114</v>
      </c>
      <c r="BF252" t="str">
        <f>HYPERLINK("http://dx.doi.org/10.1029/2004JA010921","http://dx.doi.org/10.1029/2004JA010921")</f>
        <v>http://dx.doi.org/10.1029/2004JA010921</v>
      </c>
      <c r="BG252" t="s">
        <v>74</v>
      </c>
      <c r="BH252" t="s">
        <v>74</v>
      </c>
      <c r="BI252">
        <v>11</v>
      </c>
      <c r="BJ252" t="s">
        <v>853</v>
      </c>
      <c r="BK252" t="s">
        <v>95</v>
      </c>
      <c r="BL252" t="s">
        <v>853</v>
      </c>
      <c r="BM252" t="s">
        <v>4115</v>
      </c>
      <c r="BN252" t="s">
        <v>74</v>
      </c>
      <c r="BO252" t="s">
        <v>539</v>
      </c>
      <c r="BP252" t="s">
        <v>74</v>
      </c>
      <c r="BQ252" t="s">
        <v>74</v>
      </c>
      <c r="BR252" t="s">
        <v>97</v>
      </c>
      <c r="BS252" t="s">
        <v>4116</v>
      </c>
      <c r="BT252" t="str">
        <f>HYPERLINK("https%3A%2F%2Fwww.webofscience.com%2Fwos%2Fwoscc%2Ffull-record%2FWOS:000228481600004","View Full Record in Web of Science")</f>
        <v>View Full Record in Web of Science</v>
      </c>
    </row>
    <row r="253" spans="1:72" x14ac:dyDescent="0.15">
      <c r="A253" t="s">
        <v>72</v>
      </c>
      <c r="B253" t="s">
        <v>4117</v>
      </c>
      <c r="C253" t="s">
        <v>74</v>
      </c>
      <c r="D253" t="s">
        <v>74</v>
      </c>
      <c r="E253" t="s">
        <v>74</v>
      </c>
      <c r="F253" t="s">
        <v>4117</v>
      </c>
      <c r="G253" t="s">
        <v>74</v>
      </c>
      <c r="H253" t="s">
        <v>74</v>
      </c>
      <c r="I253" t="s">
        <v>4118</v>
      </c>
      <c r="J253" t="s">
        <v>4119</v>
      </c>
      <c r="K253" t="s">
        <v>74</v>
      </c>
      <c r="L253" t="s">
        <v>74</v>
      </c>
      <c r="M253" t="s">
        <v>77</v>
      </c>
      <c r="N253" t="s">
        <v>78</v>
      </c>
      <c r="O253" t="s">
        <v>74</v>
      </c>
      <c r="P253" t="s">
        <v>74</v>
      </c>
      <c r="Q253" t="s">
        <v>74</v>
      </c>
      <c r="R253" t="s">
        <v>74</v>
      </c>
      <c r="S253" t="s">
        <v>74</v>
      </c>
      <c r="T253" t="s">
        <v>74</v>
      </c>
      <c r="U253" t="s">
        <v>4120</v>
      </c>
      <c r="V253" t="s">
        <v>4121</v>
      </c>
      <c r="W253" t="s">
        <v>4122</v>
      </c>
      <c r="X253" t="s">
        <v>4123</v>
      </c>
      <c r="Y253" t="s">
        <v>4124</v>
      </c>
      <c r="Z253" t="s">
        <v>4125</v>
      </c>
      <c r="AA253" t="s">
        <v>4126</v>
      </c>
      <c r="AB253" t="s">
        <v>4127</v>
      </c>
      <c r="AC253" t="s">
        <v>74</v>
      </c>
      <c r="AD253" t="s">
        <v>74</v>
      </c>
      <c r="AE253" t="s">
        <v>74</v>
      </c>
      <c r="AF253" t="s">
        <v>74</v>
      </c>
      <c r="AG253">
        <v>79</v>
      </c>
      <c r="AH253">
        <v>117</v>
      </c>
      <c r="AI253">
        <v>124</v>
      </c>
      <c r="AJ253">
        <v>1</v>
      </c>
      <c r="AK253">
        <v>41</v>
      </c>
      <c r="AL253" t="s">
        <v>527</v>
      </c>
      <c r="AM253" t="s">
        <v>528</v>
      </c>
      <c r="AN253" t="s">
        <v>529</v>
      </c>
      <c r="AO253" t="s">
        <v>4128</v>
      </c>
      <c r="AP253" t="s">
        <v>4129</v>
      </c>
      <c r="AQ253" t="s">
        <v>74</v>
      </c>
      <c r="AR253" t="s">
        <v>4130</v>
      </c>
      <c r="AS253" t="s">
        <v>4131</v>
      </c>
      <c r="AT253" t="s">
        <v>4132</v>
      </c>
      <c r="AU253">
        <v>2005</v>
      </c>
      <c r="AV253">
        <v>19</v>
      </c>
      <c r="AW253">
        <v>2</v>
      </c>
      <c r="AX253" t="s">
        <v>74</v>
      </c>
      <c r="AY253" t="s">
        <v>74</v>
      </c>
      <c r="AZ253" t="s">
        <v>74</v>
      </c>
      <c r="BA253" t="s">
        <v>74</v>
      </c>
      <c r="BB253" t="s">
        <v>74</v>
      </c>
      <c r="BC253" t="s">
        <v>74</v>
      </c>
      <c r="BD253" t="s">
        <v>4133</v>
      </c>
      <c r="BE253" t="s">
        <v>4134</v>
      </c>
      <c r="BF253" t="str">
        <f>HYPERLINK("http://dx.doi.org/10.1029/2004GB002364","http://dx.doi.org/10.1029/2004GB002364")</f>
        <v>http://dx.doi.org/10.1029/2004GB002364</v>
      </c>
      <c r="BG253" t="s">
        <v>74</v>
      </c>
      <c r="BH253" t="s">
        <v>74</v>
      </c>
      <c r="BI253">
        <v>13</v>
      </c>
      <c r="BJ253" t="s">
        <v>4135</v>
      </c>
      <c r="BK253" t="s">
        <v>95</v>
      </c>
      <c r="BL253" t="s">
        <v>4136</v>
      </c>
      <c r="BM253" t="s">
        <v>4137</v>
      </c>
      <c r="BN253" t="s">
        <v>74</v>
      </c>
      <c r="BO253" t="s">
        <v>750</v>
      </c>
      <c r="BP253" t="s">
        <v>74</v>
      </c>
      <c r="BQ253" t="s">
        <v>74</v>
      </c>
      <c r="BR253" t="s">
        <v>97</v>
      </c>
      <c r="BS253" t="s">
        <v>4138</v>
      </c>
      <c r="BT253" t="str">
        <f>HYPERLINK("https%3A%2F%2Fwww.webofscience.com%2Fwos%2Fwoscc%2Ffull-record%2FWOS:000228480300002","View Full Record in Web of Science")</f>
        <v>View Full Record in Web of Science</v>
      </c>
    </row>
    <row r="254" spans="1:72" x14ac:dyDescent="0.15">
      <c r="A254" t="s">
        <v>72</v>
      </c>
      <c r="B254" t="s">
        <v>4139</v>
      </c>
      <c r="C254" t="s">
        <v>74</v>
      </c>
      <c r="D254" t="s">
        <v>74</v>
      </c>
      <c r="E254" t="s">
        <v>74</v>
      </c>
      <c r="F254" t="s">
        <v>4139</v>
      </c>
      <c r="G254" t="s">
        <v>74</v>
      </c>
      <c r="H254" t="s">
        <v>74</v>
      </c>
      <c r="I254" t="s">
        <v>4140</v>
      </c>
      <c r="J254" t="s">
        <v>893</v>
      </c>
      <c r="K254" t="s">
        <v>74</v>
      </c>
      <c r="L254" t="s">
        <v>74</v>
      </c>
      <c r="M254" t="s">
        <v>77</v>
      </c>
      <c r="N254" t="s">
        <v>78</v>
      </c>
      <c r="O254" t="s">
        <v>74</v>
      </c>
      <c r="P254" t="s">
        <v>74</v>
      </c>
      <c r="Q254" t="s">
        <v>74</v>
      </c>
      <c r="R254" t="s">
        <v>74</v>
      </c>
      <c r="S254" t="s">
        <v>74</v>
      </c>
      <c r="T254" t="s">
        <v>74</v>
      </c>
      <c r="U254" t="s">
        <v>4141</v>
      </c>
      <c r="V254" t="s">
        <v>4142</v>
      </c>
      <c r="W254" t="s">
        <v>4143</v>
      </c>
      <c r="X254" t="s">
        <v>4144</v>
      </c>
      <c r="Y254" t="s">
        <v>4145</v>
      </c>
      <c r="Z254" t="s">
        <v>4146</v>
      </c>
      <c r="AA254" t="s">
        <v>4147</v>
      </c>
      <c r="AB254" t="s">
        <v>4148</v>
      </c>
      <c r="AC254" t="s">
        <v>74</v>
      </c>
      <c r="AD254" t="s">
        <v>74</v>
      </c>
      <c r="AE254" t="s">
        <v>74</v>
      </c>
      <c r="AF254" t="s">
        <v>74</v>
      </c>
      <c r="AG254">
        <v>50</v>
      </c>
      <c r="AH254">
        <v>90</v>
      </c>
      <c r="AI254">
        <v>106</v>
      </c>
      <c r="AJ254">
        <v>1</v>
      </c>
      <c r="AK254">
        <v>14</v>
      </c>
      <c r="AL254" t="s">
        <v>902</v>
      </c>
      <c r="AM254" t="s">
        <v>903</v>
      </c>
      <c r="AN254" t="s">
        <v>922</v>
      </c>
      <c r="AO254" t="s">
        <v>905</v>
      </c>
      <c r="AP254" t="s">
        <v>74</v>
      </c>
      <c r="AQ254" t="s">
        <v>74</v>
      </c>
      <c r="AR254" t="s">
        <v>907</v>
      </c>
      <c r="AS254" t="s">
        <v>908</v>
      </c>
      <c r="AT254" t="s">
        <v>4132</v>
      </c>
      <c r="AU254">
        <v>2005</v>
      </c>
      <c r="AV254">
        <v>18</v>
      </c>
      <c r="AW254">
        <v>8</v>
      </c>
      <c r="AX254" t="s">
        <v>74</v>
      </c>
      <c r="AY254" t="s">
        <v>74</v>
      </c>
      <c r="AZ254" t="s">
        <v>74</v>
      </c>
      <c r="BA254" t="s">
        <v>74</v>
      </c>
      <c r="BB254">
        <v>1174</v>
      </c>
      <c r="BC254">
        <v>1189</v>
      </c>
      <c r="BD254" t="s">
        <v>74</v>
      </c>
      <c r="BE254" t="s">
        <v>4149</v>
      </c>
      <c r="BF254" t="str">
        <f>HYPERLINK("http://dx.doi.org/10.1175/JCLI3336.1","http://dx.doi.org/10.1175/JCLI3336.1")</f>
        <v>http://dx.doi.org/10.1175/JCLI3336.1</v>
      </c>
      <c r="BG254" t="s">
        <v>74</v>
      </c>
      <c r="BH254" t="s">
        <v>74</v>
      </c>
      <c r="BI254">
        <v>16</v>
      </c>
      <c r="BJ254" t="s">
        <v>401</v>
      </c>
      <c r="BK254" t="s">
        <v>95</v>
      </c>
      <c r="BL254" t="s">
        <v>401</v>
      </c>
      <c r="BM254" t="s">
        <v>4150</v>
      </c>
      <c r="BN254" t="s">
        <v>74</v>
      </c>
      <c r="BO254" t="s">
        <v>143</v>
      </c>
      <c r="BP254" t="s">
        <v>74</v>
      </c>
      <c r="BQ254" t="s">
        <v>74</v>
      </c>
      <c r="BR254" t="s">
        <v>97</v>
      </c>
      <c r="BS254" t="s">
        <v>4151</v>
      </c>
      <c r="BT254" t="str">
        <f>HYPERLINK("https%3A%2F%2Fwww.webofscience.com%2Fwos%2Fwoscc%2Ffull-record%2FWOS:000228975100004","View Full Record in Web of Science")</f>
        <v>View Full Record in Web of Science</v>
      </c>
    </row>
    <row r="255" spans="1:72" x14ac:dyDescent="0.15">
      <c r="A255" t="s">
        <v>72</v>
      </c>
      <c r="B255" t="s">
        <v>4152</v>
      </c>
      <c r="C255" t="s">
        <v>74</v>
      </c>
      <c r="D255" t="s">
        <v>74</v>
      </c>
      <c r="E255" t="s">
        <v>74</v>
      </c>
      <c r="F255" t="s">
        <v>4152</v>
      </c>
      <c r="G255" t="s">
        <v>74</v>
      </c>
      <c r="H255" t="s">
        <v>74</v>
      </c>
      <c r="I255" t="s">
        <v>4153</v>
      </c>
      <c r="J255" t="s">
        <v>4154</v>
      </c>
      <c r="K255" t="s">
        <v>74</v>
      </c>
      <c r="L255" t="s">
        <v>74</v>
      </c>
      <c r="M255" t="s">
        <v>77</v>
      </c>
      <c r="N255" t="s">
        <v>78</v>
      </c>
      <c r="O255" t="s">
        <v>74</v>
      </c>
      <c r="P255" t="s">
        <v>74</v>
      </c>
      <c r="Q255" t="s">
        <v>74</v>
      </c>
      <c r="R255" t="s">
        <v>74</v>
      </c>
      <c r="S255" t="s">
        <v>74</v>
      </c>
      <c r="T255" t="s">
        <v>4155</v>
      </c>
      <c r="U255" t="s">
        <v>4156</v>
      </c>
      <c r="V255" t="s">
        <v>4157</v>
      </c>
      <c r="W255" t="s">
        <v>4158</v>
      </c>
      <c r="X255" t="s">
        <v>4159</v>
      </c>
      <c r="Y255" t="s">
        <v>4160</v>
      </c>
      <c r="Z255" t="s">
        <v>4161</v>
      </c>
      <c r="AA255" t="s">
        <v>4162</v>
      </c>
      <c r="AB255" t="s">
        <v>4163</v>
      </c>
      <c r="AC255" t="s">
        <v>74</v>
      </c>
      <c r="AD255" t="s">
        <v>74</v>
      </c>
      <c r="AE255" t="s">
        <v>74</v>
      </c>
      <c r="AF255" t="s">
        <v>74</v>
      </c>
      <c r="AG255">
        <v>30</v>
      </c>
      <c r="AH255">
        <v>46</v>
      </c>
      <c r="AI255">
        <v>50</v>
      </c>
      <c r="AJ255">
        <v>0</v>
      </c>
      <c r="AK255">
        <v>5</v>
      </c>
      <c r="AL255" t="s">
        <v>435</v>
      </c>
      <c r="AM255" t="s">
        <v>436</v>
      </c>
      <c r="AN255" t="s">
        <v>437</v>
      </c>
      <c r="AO255" t="s">
        <v>4164</v>
      </c>
      <c r="AP255" t="s">
        <v>4165</v>
      </c>
      <c r="AQ255" t="s">
        <v>74</v>
      </c>
      <c r="AR255" t="s">
        <v>4166</v>
      </c>
      <c r="AS255" t="s">
        <v>4167</v>
      </c>
      <c r="AT255" t="s">
        <v>4132</v>
      </c>
      <c r="AU255">
        <v>2005</v>
      </c>
      <c r="AV255">
        <v>149</v>
      </c>
      <c r="AW255" t="s">
        <v>961</v>
      </c>
      <c r="AX255" t="s">
        <v>74</v>
      </c>
      <c r="AY255" t="s">
        <v>74</v>
      </c>
      <c r="AZ255" t="s">
        <v>74</v>
      </c>
      <c r="BA255" t="s">
        <v>74</v>
      </c>
      <c r="BB255">
        <v>205</v>
      </c>
      <c r="BC255">
        <v>223</v>
      </c>
      <c r="BD255" t="s">
        <v>74</v>
      </c>
      <c r="BE255" t="s">
        <v>4168</v>
      </c>
      <c r="BF255" t="str">
        <f>HYPERLINK("http://dx.doi.org/10.1016/j.pepi.2004.10.006","http://dx.doi.org/10.1016/j.pepi.2004.10.006")</f>
        <v>http://dx.doi.org/10.1016/j.pepi.2004.10.006</v>
      </c>
      <c r="BG255" t="s">
        <v>74</v>
      </c>
      <c r="BH255" t="s">
        <v>74</v>
      </c>
      <c r="BI255">
        <v>19</v>
      </c>
      <c r="BJ255" t="s">
        <v>381</v>
      </c>
      <c r="BK255" t="s">
        <v>95</v>
      </c>
      <c r="BL255" t="s">
        <v>381</v>
      </c>
      <c r="BM255" t="s">
        <v>4169</v>
      </c>
      <c r="BN255" t="s">
        <v>74</v>
      </c>
      <c r="BO255" t="s">
        <v>143</v>
      </c>
      <c r="BP255" t="s">
        <v>74</v>
      </c>
      <c r="BQ255" t="s">
        <v>74</v>
      </c>
      <c r="BR255" t="s">
        <v>97</v>
      </c>
      <c r="BS255" t="s">
        <v>4170</v>
      </c>
      <c r="BT255" t="str">
        <f>HYPERLINK("https%3A%2F%2Fwww.webofscience.com%2Fwos%2Fwoscc%2Ffull-record%2FWOS:000228142800002","View Full Record in Web of Science")</f>
        <v>View Full Record in Web of Science</v>
      </c>
    </row>
    <row r="256" spans="1:72" x14ac:dyDescent="0.15">
      <c r="A256" t="s">
        <v>72</v>
      </c>
      <c r="B256" t="s">
        <v>4171</v>
      </c>
      <c r="C256" t="s">
        <v>74</v>
      </c>
      <c r="D256" t="s">
        <v>74</v>
      </c>
      <c r="E256" t="s">
        <v>74</v>
      </c>
      <c r="F256" t="s">
        <v>4171</v>
      </c>
      <c r="G256" t="s">
        <v>74</v>
      </c>
      <c r="H256" t="s">
        <v>74</v>
      </c>
      <c r="I256" t="s">
        <v>4172</v>
      </c>
      <c r="J256" t="s">
        <v>4173</v>
      </c>
      <c r="K256" t="s">
        <v>74</v>
      </c>
      <c r="L256" t="s">
        <v>74</v>
      </c>
      <c r="M256" t="s">
        <v>77</v>
      </c>
      <c r="N256" t="s">
        <v>78</v>
      </c>
      <c r="O256" t="s">
        <v>74</v>
      </c>
      <c r="P256" t="s">
        <v>74</v>
      </c>
      <c r="Q256" t="s">
        <v>74</v>
      </c>
      <c r="R256" t="s">
        <v>74</v>
      </c>
      <c r="S256" t="s">
        <v>74</v>
      </c>
      <c r="T256" t="s">
        <v>4174</v>
      </c>
      <c r="U256" t="s">
        <v>4175</v>
      </c>
      <c r="V256" t="s">
        <v>4176</v>
      </c>
      <c r="W256" t="s">
        <v>4177</v>
      </c>
      <c r="X256" t="s">
        <v>4178</v>
      </c>
      <c r="Y256" t="s">
        <v>4179</v>
      </c>
      <c r="Z256" t="s">
        <v>4180</v>
      </c>
      <c r="AA256" t="s">
        <v>74</v>
      </c>
      <c r="AB256" t="s">
        <v>74</v>
      </c>
      <c r="AC256" t="s">
        <v>74</v>
      </c>
      <c r="AD256" t="s">
        <v>74</v>
      </c>
      <c r="AE256" t="s">
        <v>74</v>
      </c>
      <c r="AF256" t="s">
        <v>74</v>
      </c>
      <c r="AG256">
        <v>89</v>
      </c>
      <c r="AH256">
        <v>8</v>
      </c>
      <c r="AI256">
        <v>10</v>
      </c>
      <c r="AJ256">
        <v>1</v>
      </c>
      <c r="AK256">
        <v>12</v>
      </c>
      <c r="AL256" t="s">
        <v>435</v>
      </c>
      <c r="AM256" t="s">
        <v>436</v>
      </c>
      <c r="AN256" t="s">
        <v>437</v>
      </c>
      <c r="AO256" t="s">
        <v>4181</v>
      </c>
      <c r="AP256" t="s">
        <v>4182</v>
      </c>
      <c r="AQ256" t="s">
        <v>74</v>
      </c>
      <c r="AR256" t="s">
        <v>4183</v>
      </c>
      <c r="AS256" t="s">
        <v>4184</v>
      </c>
      <c r="AT256" t="s">
        <v>4132</v>
      </c>
      <c r="AU256">
        <v>2005</v>
      </c>
      <c r="AV256">
        <v>175</v>
      </c>
      <c r="AW256" t="s">
        <v>887</v>
      </c>
      <c r="AX256" t="s">
        <v>74</v>
      </c>
      <c r="AY256" t="s">
        <v>74</v>
      </c>
      <c r="AZ256" t="s">
        <v>74</v>
      </c>
      <c r="BA256" t="s">
        <v>74</v>
      </c>
      <c r="BB256">
        <v>153</v>
      </c>
      <c r="BC256">
        <v>167</v>
      </c>
      <c r="BD256" t="s">
        <v>74</v>
      </c>
      <c r="BE256" t="s">
        <v>4185</v>
      </c>
      <c r="BF256" t="str">
        <f>HYPERLINK("http://dx.doi.org/10.1016/j.sedgeo.2004.12.024","http://dx.doi.org/10.1016/j.sedgeo.2004.12.024")</f>
        <v>http://dx.doi.org/10.1016/j.sedgeo.2004.12.024</v>
      </c>
      <c r="BG256" t="s">
        <v>74</v>
      </c>
      <c r="BH256" t="s">
        <v>74</v>
      </c>
      <c r="BI256">
        <v>15</v>
      </c>
      <c r="BJ256" t="s">
        <v>307</v>
      </c>
      <c r="BK256" t="s">
        <v>95</v>
      </c>
      <c r="BL256" t="s">
        <v>307</v>
      </c>
      <c r="BM256" t="s">
        <v>4186</v>
      </c>
      <c r="BN256" t="s">
        <v>74</v>
      </c>
      <c r="BO256" t="s">
        <v>74</v>
      </c>
      <c r="BP256" t="s">
        <v>74</v>
      </c>
      <c r="BQ256" t="s">
        <v>74</v>
      </c>
      <c r="BR256" t="s">
        <v>97</v>
      </c>
      <c r="BS256" t="s">
        <v>4187</v>
      </c>
      <c r="BT256" t="str">
        <f>HYPERLINK("https%3A%2F%2Fwww.webofscience.com%2Fwos%2Fwoscc%2Ffull-record%2FWOS:000228734500012","View Full Record in Web of Science")</f>
        <v>View Full Record in Web of Science</v>
      </c>
    </row>
    <row r="257" spans="1:72" x14ac:dyDescent="0.15">
      <c r="A257" t="s">
        <v>72</v>
      </c>
      <c r="B257" t="s">
        <v>4188</v>
      </c>
      <c r="C257" t="s">
        <v>74</v>
      </c>
      <c r="D257" t="s">
        <v>74</v>
      </c>
      <c r="E257" t="s">
        <v>74</v>
      </c>
      <c r="F257" t="s">
        <v>4188</v>
      </c>
      <c r="G257" t="s">
        <v>74</v>
      </c>
      <c r="H257" t="s">
        <v>74</v>
      </c>
      <c r="I257" t="s">
        <v>4189</v>
      </c>
      <c r="J257" t="s">
        <v>4173</v>
      </c>
      <c r="K257" t="s">
        <v>74</v>
      </c>
      <c r="L257" t="s">
        <v>74</v>
      </c>
      <c r="M257" t="s">
        <v>77</v>
      </c>
      <c r="N257" t="s">
        <v>78</v>
      </c>
      <c r="O257" t="s">
        <v>74</v>
      </c>
      <c r="P257" t="s">
        <v>74</v>
      </c>
      <c r="Q257" t="s">
        <v>74</v>
      </c>
      <c r="R257" t="s">
        <v>74</v>
      </c>
      <c r="S257" t="s">
        <v>74</v>
      </c>
      <c r="T257" t="s">
        <v>4190</v>
      </c>
      <c r="U257" t="s">
        <v>4191</v>
      </c>
      <c r="V257" t="s">
        <v>4192</v>
      </c>
      <c r="W257" t="s">
        <v>4193</v>
      </c>
      <c r="X257" t="s">
        <v>4194</v>
      </c>
      <c r="Y257" t="s">
        <v>4195</v>
      </c>
      <c r="Z257" t="s">
        <v>4196</v>
      </c>
      <c r="AA257" t="s">
        <v>74</v>
      </c>
      <c r="AB257" t="s">
        <v>74</v>
      </c>
      <c r="AC257" t="s">
        <v>74</v>
      </c>
      <c r="AD257" t="s">
        <v>74</v>
      </c>
      <c r="AE257" t="s">
        <v>74</v>
      </c>
      <c r="AF257" t="s">
        <v>74</v>
      </c>
      <c r="AG257">
        <v>79</v>
      </c>
      <c r="AH257">
        <v>66</v>
      </c>
      <c r="AI257">
        <v>70</v>
      </c>
      <c r="AJ257">
        <v>0</v>
      </c>
      <c r="AK257">
        <v>20</v>
      </c>
      <c r="AL257" t="s">
        <v>435</v>
      </c>
      <c r="AM257" t="s">
        <v>436</v>
      </c>
      <c r="AN257" t="s">
        <v>437</v>
      </c>
      <c r="AO257" t="s">
        <v>4181</v>
      </c>
      <c r="AP257" t="s">
        <v>4182</v>
      </c>
      <c r="AQ257" t="s">
        <v>74</v>
      </c>
      <c r="AR257" t="s">
        <v>4183</v>
      </c>
      <c r="AS257" t="s">
        <v>4184</v>
      </c>
      <c r="AT257" t="s">
        <v>4132</v>
      </c>
      <c r="AU257">
        <v>2005</v>
      </c>
      <c r="AV257">
        <v>175</v>
      </c>
      <c r="AW257" t="s">
        <v>887</v>
      </c>
      <c r="AX257" t="s">
        <v>74</v>
      </c>
      <c r="AY257" t="s">
        <v>74</v>
      </c>
      <c r="AZ257" t="s">
        <v>74</v>
      </c>
      <c r="BA257" t="s">
        <v>74</v>
      </c>
      <c r="BB257">
        <v>277</v>
      </c>
      <c r="BC257">
        <v>296</v>
      </c>
      <c r="BD257" t="s">
        <v>74</v>
      </c>
      <c r="BE257" t="s">
        <v>4197</v>
      </c>
      <c r="BF257" t="str">
        <f>HYPERLINK("http://dx.doi.org/10.1016/j.sedgeo.2004.12.016","http://dx.doi.org/10.1016/j.sedgeo.2004.12.016")</f>
        <v>http://dx.doi.org/10.1016/j.sedgeo.2004.12.016</v>
      </c>
      <c r="BG257" t="s">
        <v>74</v>
      </c>
      <c r="BH257" t="s">
        <v>74</v>
      </c>
      <c r="BI257">
        <v>20</v>
      </c>
      <c r="BJ257" t="s">
        <v>307</v>
      </c>
      <c r="BK257" t="s">
        <v>95</v>
      </c>
      <c r="BL257" t="s">
        <v>307</v>
      </c>
      <c r="BM257" t="s">
        <v>4186</v>
      </c>
      <c r="BN257" t="s">
        <v>74</v>
      </c>
      <c r="BO257" t="s">
        <v>750</v>
      </c>
      <c r="BP257" t="s">
        <v>74</v>
      </c>
      <c r="BQ257" t="s">
        <v>74</v>
      </c>
      <c r="BR257" t="s">
        <v>97</v>
      </c>
      <c r="BS257" t="s">
        <v>4198</v>
      </c>
      <c r="BT257" t="str">
        <f>HYPERLINK("https%3A%2F%2Fwww.webofscience.com%2Fwos%2Fwoscc%2Ffull-record%2FWOS:000228734500018","View Full Record in Web of Science")</f>
        <v>View Full Record in Web of Science</v>
      </c>
    </row>
    <row r="258" spans="1:72" x14ac:dyDescent="0.15">
      <c r="A258" t="s">
        <v>72</v>
      </c>
      <c r="B258" t="s">
        <v>4199</v>
      </c>
      <c r="C258" t="s">
        <v>74</v>
      </c>
      <c r="D258" t="s">
        <v>74</v>
      </c>
      <c r="E258" t="s">
        <v>74</v>
      </c>
      <c r="F258" t="s">
        <v>4199</v>
      </c>
      <c r="G258" t="s">
        <v>74</v>
      </c>
      <c r="H258" t="s">
        <v>74</v>
      </c>
      <c r="I258" t="s">
        <v>4200</v>
      </c>
      <c r="J258" t="s">
        <v>519</v>
      </c>
      <c r="K258" t="s">
        <v>74</v>
      </c>
      <c r="L258" t="s">
        <v>74</v>
      </c>
      <c r="M258" t="s">
        <v>77</v>
      </c>
      <c r="N258" t="s">
        <v>78</v>
      </c>
      <c r="O258" t="s">
        <v>74</v>
      </c>
      <c r="P258" t="s">
        <v>74</v>
      </c>
      <c r="Q258" t="s">
        <v>74</v>
      </c>
      <c r="R258" t="s">
        <v>74</v>
      </c>
      <c r="S258" t="s">
        <v>74</v>
      </c>
      <c r="T258" t="s">
        <v>74</v>
      </c>
      <c r="U258" t="s">
        <v>4201</v>
      </c>
      <c r="V258" t="s">
        <v>4202</v>
      </c>
      <c r="W258" t="s">
        <v>4203</v>
      </c>
      <c r="X258" t="s">
        <v>4204</v>
      </c>
      <c r="Y258" t="s">
        <v>4205</v>
      </c>
      <c r="Z258" t="s">
        <v>4206</v>
      </c>
      <c r="AA258" t="s">
        <v>4207</v>
      </c>
      <c r="AB258" t="s">
        <v>4208</v>
      </c>
      <c r="AC258" t="s">
        <v>74</v>
      </c>
      <c r="AD258" t="s">
        <v>74</v>
      </c>
      <c r="AE258" t="s">
        <v>74</v>
      </c>
      <c r="AF258" t="s">
        <v>74</v>
      </c>
      <c r="AG258">
        <v>25</v>
      </c>
      <c r="AH258">
        <v>59</v>
      </c>
      <c r="AI258">
        <v>66</v>
      </c>
      <c r="AJ258">
        <v>1</v>
      </c>
      <c r="AK258">
        <v>17</v>
      </c>
      <c r="AL258" t="s">
        <v>527</v>
      </c>
      <c r="AM258" t="s">
        <v>528</v>
      </c>
      <c r="AN258" t="s">
        <v>529</v>
      </c>
      <c r="AO258" t="s">
        <v>530</v>
      </c>
      <c r="AP258" t="s">
        <v>531</v>
      </c>
      <c r="AQ258" t="s">
        <v>74</v>
      </c>
      <c r="AR258" t="s">
        <v>532</v>
      </c>
      <c r="AS258" t="s">
        <v>533</v>
      </c>
      <c r="AT258" t="s">
        <v>4209</v>
      </c>
      <c r="AU258">
        <v>2005</v>
      </c>
      <c r="AV258">
        <v>32</v>
      </c>
      <c r="AW258">
        <v>7</v>
      </c>
      <c r="AX258" t="s">
        <v>74</v>
      </c>
      <c r="AY258" t="s">
        <v>74</v>
      </c>
      <c r="AZ258" t="s">
        <v>74</v>
      </c>
      <c r="BA258" t="s">
        <v>74</v>
      </c>
      <c r="BB258" t="s">
        <v>74</v>
      </c>
      <c r="BC258" t="s">
        <v>74</v>
      </c>
      <c r="BD258" t="s">
        <v>4210</v>
      </c>
      <c r="BE258" t="s">
        <v>4211</v>
      </c>
      <c r="BF258" t="str">
        <f>HYPERLINK("http://dx.doi.org/10.1029/2004GL022220","http://dx.doi.org/10.1029/2004GL022220")</f>
        <v>http://dx.doi.org/10.1029/2004GL022220</v>
      </c>
      <c r="BG258" t="s">
        <v>74</v>
      </c>
      <c r="BH258" t="s">
        <v>74</v>
      </c>
      <c r="BI258">
        <v>5</v>
      </c>
      <c r="BJ258" t="s">
        <v>537</v>
      </c>
      <c r="BK258" t="s">
        <v>95</v>
      </c>
      <c r="BL258" t="s">
        <v>307</v>
      </c>
      <c r="BM258" t="s">
        <v>4212</v>
      </c>
      <c r="BN258" t="s">
        <v>74</v>
      </c>
      <c r="BO258" t="s">
        <v>4213</v>
      </c>
      <c r="BP258" t="s">
        <v>74</v>
      </c>
      <c r="BQ258" t="s">
        <v>74</v>
      </c>
      <c r="BR258" t="s">
        <v>97</v>
      </c>
      <c r="BS258" t="s">
        <v>4214</v>
      </c>
      <c r="BT258" t="str">
        <f>HYPERLINK("https%3A%2F%2Fwww.webofscience.com%2Fwos%2Fwoscc%2Ffull-record%2FWOS:000228480000002","View Full Record in Web of Science")</f>
        <v>View Full Record in Web of Science</v>
      </c>
    </row>
    <row r="259" spans="1:72" x14ac:dyDescent="0.15">
      <c r="A259" t="s">
        <v>72</v>
      </c>
      <c r="B259" t="s">
        <v>4215</v>
      </c>
      <c r="C259" t="s">
        <v>74</v>
      </c>
      <c r="D259" t="s">
        <v>74</v>
      </c>
      <c r="E259" t="s">
        <v>74</v>
      </c>
      <c r="F259" t="s">
        <v>4215</v>
      </c>
      <c r="G259" t="s">
        <v>74</v>
      </c>
      <c r="H259" t="s">
        <v>74</v>
      </c>
      <c r="I259" t="s">
        <v>4216</v>
      </c>
      <c r="J259" t="s">
        <v>519</v>
      </c>
      <c r="K259" t="s">
        <v>74</v>
      </c>
      <c r="L259" t="s">
        <v>74</v>
      </c>
      <c r="M259" t="s">
        <v>77</v>
      </c>
      <c r="N259" t="s">
        <v>78</v>
      </c>
      <c r="O259" t="s">
        <v>74</v>
      </c>
      <c r="P259" t="s">
        <v>74</v>
      </c>
      <c r="Q259" t="s">
        <v>74</v>
      </c>
      <c r="R259" t="s">
        <v>74</v>
      </c>
      <c r="S259" t="s">
        <v>74</v>
      </c>
      <c r="T259" t="s">
        <v>74</v>
      </c>
      <c r="U259" t="s">
        <v>4217</v>
      </c>
      <c r="V259" t="s">
        <v>4218</v>
      </c>
      <c r="W259" t="s">
        <v>4219</v>
      </c>
      <c r="X259" t="s">
        <v>4220</v>
      </c>
      <c r="Y259" t="s">
        <v>4221</v>
      </c>
      <c r="Z259" t="s">
        <v>4222</v>
      </c>
      <c r="AA259" t="s">
        <v>4223</v>
      </c>
      <c r="AB259" t="s">
        <v>4224</v>
      </c>
      <c r="AC259" t="s">
        <v>74</v>
      </c>
      <c r="AD259" t="s">
        <v>74</v>
      </c>
      <c r="AE259" t="s">
        <v>74</v>
      </c>
      <c r="AF259" t="s">
        <v>74</v>
      </c>
      <c r="AG259">
        <v>18</v>
      </c>
      <c r="AH259">
        <v>61</v>
      </c>
      <c r="AI259">
        <v>70</v>
      </c>
      <c r="AJ259">
        <v>0</v>
      </c>
      <c r="AK259">
        <v>18</v>
      </c>
      <c r="AL259" t="s">
        <v>527</v>
      </c>
      <c r="AM259" t="s">
        <v>528</v>
      </c>
      <c r="AN259" t="s">
        <v>529</v>
      </c>
      <c r="AO259" t="s">
        <v>530</v>
      </c>
      <c r="AP259" t="s">
        <v>531</v>
      </c>
      <c r="AQ259" t="s">
        <v>74</v>
      </c>
      <c r="AR259" t="s">
        <v>532</v>
      </c>
      <c r="AS259" t="s">
        <v>533</v>
      </c>
      <c r="AT259" t="s">
        <v>4209</v>
      </c>
      <c r="AU259">
        <v>2005</v>
      </c>
      <c r="AV259">
        <v>32</v>
      </c>
      <c r="AW259">
        <v>7</v>
      </c>
      <c r="AX259" t="s">
        <v>74</v>
      </c>
      <c r="AY259" t="s">
        <v>74</v>
      </c>
      <c r="AZ259" t="s">
        <v>74</v>
      </c>
      <c r="BA259" t="s">
        <v>74</v>
      </c>
      <c r="BB259" t="s">
        <v>74</v>
      </c>
      <c r="BC259" t="s">
        <v>74</v>
      </c>
      <c r="BD259" t="s">
        <v>4225</v>
      </c>
      <c r="BE259" t="s">
        <v>4226</v>
      </c>
      <c r="BF259" t="str">
        <f>HYPERLINK("http://dx.doi.org/10.1029/2004GL021947","http://dx.doi.org/10.1029/2004GL021947")</f>
        <v>http://dx.doi.org/10.1029/2004GL021947</v>
      </c>
      <c r="BG259" t="s">
        <v>74</v>
      </c>
      <c r="BH259" t="s">
        <v>74</v>
      </c>
      <c r="BI259">
        <v>4</v>
      </c>
      <c r="BJ259" t="s">
        <v>537</v>
      </c>
      <c r="BK259" t="s">
        <v>95</v>
      </c>
      <c r="BL259" t="s">
        <v>307</v>
      </c>
      <c r="BM259" t="s">
        <v>4212</v>
      </c>
      <c r="BN259" t="s">
        <v>74</v>
      </c>
      <c r="BO259" t="s">
        <v>613</v>
      </c>
      <c r="BP259" t="s">
        <v>74</v>
      </c>
      <c r="BQ259" t="s">
        <v>74</v>
      </c>
      <c r="BR259" t="s">
        <v>97</v>
      </c>
      <c r="BS259" t="s">
        <v>4227</v>
      </c>
      <c r="BT259" t="str">
        <f>HYPERLINK("https%3A%2F%2Fwww.webofscience.com%2Fwos%2Fwoscc%2Ffull-record%2FWOS:000228480000001","View Full Record in Web of Science")</f>
        <v>View Full Record in Web of Science</v>
      </c>
    </row>
    <row r="260" spans="1:72" x14ac:dyDescent="0.15">
      <c r="A260" t="s">
        <v>72</v>
      </c>
      <c r="B260" t="s">
        <v>4228</v>
      </c>
      <c r="C260" t="s">
        <v>74</v>
      </c>
      <c r="D260" t="s">
        <v>74</v>
      </c>
      <c r="E260" t="s">
        <v>74</v>
      </c>
      <c r="F260" t="s">
        <v>4228</v>
      </c>
      <c r="G260" t="s">
        <v>74</v>
      </c>
      <c r="H260" t="s">
        <v>74</v>
      </c>
      <c r="I260" t="s">
        <v>4229</v>
      </c>
      <c r="J260" t="s">
        <v>4230</v>
      </c>
      <c r="K260" t="s">
        <v>74</v>
      </c>
      <c r="L260" t="s">
        <v>74</v>
      </c>
      <c r="M260" t="s">
        <v>77</v>
      </c>
      <c r="N260" t="s">
        <v>78</v>
      </c>
      <c r="O260" t="s">
        <v>74</v>
      </c>
      <c r="P260" t="s">
        <v>74</v>
      </c>
      <c r="Q260" t="s">
        <v>74</v>
      </c>
      <c r="R260" t="s">
        <v>74</v>
      </c>
      <c r="S260" t="s">
        <v>74</v>
      </c>
      <c r="T260" t="s">
        <v>74</v>
      </c>
      <c r="U260" t="s">
        <v>4231</v>
      </c>
      <c r="V260" t="s">
        <v>4232</v>
      </c>
      <c r="W260" t="s">
        <v>4233</v>
      </c>
      <c r="X260" t="s">
        <v>4234</v>
      </c>
      <c r="Y260" t="s">
        <v>4235</v>
      </c>
      <c r="Z260" t="s">
        <v>4236</v>
      </c>
      <c r="AA260" t="s">
        <v>4237</v>
      </c>
      <c r="AB260" t="s">
        <v>4238</v>
      </c>
      <c r="AC260" t="s">
        <v>74</v>
      </c>
      <c r="AD260" t="s">
        <v>74</v>
      </c>
      <c r="AE260" t="s">
        <v>74</v>
      </c>
      <c r="AF260" t="s">
        <v>74</v>
      </c>
      <c r="AG260">
        <v>85</v>
      </c>
      <c r="AH260">
        <v>18</v>
      </c>
      <c r="AI260">
        <v>18</v>
      </c>
      <c r="AJ260">
        <v>0</v>
      </c>
      <c r="AK260">
        <v>6</v>
      </c>
      <c r="AL260" t="s">
        <v>527</v>
      </c>
      <c r="AM260" t="s">
        <v>528</v>
      </c>
      <c r="AN260" t="s">
        <v>529</v>
      </c>
      <c r="AO260" t="s">
        <v>4239</v>
      </c>
      <c r="AP260" t="s">
        <v>4240</v>
      </c>
      <c r="AQ260" t="s">
        <v>74</v>
      </c>
      <c r="AR260" t="s">
        <v>4230</v>
      </c>
      <c r="AS260" t="s">
        <v>4241</v>
      </c>
      <c r="AT260" t="s">
        <v>4209</v>
      </c>
      <c r="AU260">
        <v>2005</v>
      </c>
      <c r="AV260">
        <v>24</v>
      </c>
      <c r="AW260">
        <v>2</v>
      </c>
      <c r="AX260" t="s">
        <v>74</v>
      </c>
      <c r="AY260" t="s">
        <v>74</v>
      </c>
      <c r="AZ260" t="s">
        <v>74</v>
      </c>
      <c r="BA260" t="s">
        <v>74</v>
      </c>
      <c r="BB260" t="s">
        <v>74</v>
      </c>
      <c r="BC260" t="s">
        <v>74</v>
      </c>
      <c r="BD260" t="s">
        <v>4242</v>
      </c>
      <c r="BE260" t="s">
        <v>4243</v>
      </c>
      <c r="BF260" t="str">
        <f>HYPERLINK("http://dx.doi.org/10.1029/2004TC001739","http://dx.doi.org/10.1029/2004TC001739")</f>
        <v>http://dx.doi.org/10.1029/2004TC001739</v>
      </c>
      <c r="BG260" t="s">
        <v>74</v>
      </c>
      <c r="BH260" t="s">
        <v>74</v>
      </c>
      <c r="BI260">
        <v>19</v>
      </c>
      <c r="BJ260" t="s">
        <v>381</v>
      </c>
      <c r="BK260" t="s">
        <v>95</v>
      </c>
      <c r="BL260" t="s">
        <v>381</v>
      </c>
      <c r="BM260" t="s">
        <v>4244</v>
      </c>
      <c r="BN260" t="s">
        <v>74</v>
      </c>
      <c r="BO260" t="s">
        <v>74</v>
      </c>
      <c r="BP260" t="s">
        <v>74</v>
      </c>
      <c r="BQ260" t="s">
        <v>74</v>
      </c>
      <c r="BR260" t="s">
        <v>97</v>
      </c>
      <c r="BS260" t="s">
        <v>4245</v>
      </c>
      <c r="BT260" t="str">
        <f>HYPERLINK("https%3A%2F%2Fwww.webofscience.com%2Fwos%2Fwoscc%2Ffull-record%2FWOS:000228482300002","View Full Record in Web of Science")</f>
        <v>View Full Record in Web of Science</v>
      </c>
    </row>
    <row r="261" spans="1:72" x14ac:dyDescent="0.15">
      <c r="A261" t="s">
        <v>72</v>
      </c>
      <c r="B261" t="s">
        <v>4246</v>
      </c>
      <c r="C261" t="s">
        <v>74</v>
      </c>
      <c r="D261" t="s">
        <v>74</v>
      </c>
      <c r="E261" t="s">
        <v>74</v>
      </c>
      <c r="F261" t="s">
        <v>4246</v>
      </c>
      <c r="G261" t="s">
        <v>74</v>
      </c>
      <c r="H261" t="s">
        <v>74</v>
      </c>
      <c r="I261" t="s">
        <v>4247</v>
      </c>
      <c r="J261" t="s">
        <v>837</v>
      </c>
      <c r="K261" t="s">
        <v>74</v>
      </c>
      <c r="L261" t="s">
        <v>74</v>
      </c>
      <c r="M261" t="s">
        <v>77</v>
      </c>
      <c r="N261" t="s">
        <v>78</v>
      </c>
      <c r="O261" t="s">
        <v>74</v>
      </c>
      <c r="P261" t="s">
        <v>74</v>
      </c>
      <c r="Q261" t="s">
        <v>74</v>
      </c>
      <c r="R261" t="s">
        <v>74</v>
      </c>
      <c r="S261" t="s">
        <v>74</v>
      </c>
      <c r="T261" t="s">
        <v>74</v>
      </c>
      <c r="U261" t="s">
        <v>4248</v>
      </c>
      <c r="V261" t="s">
        <v>4249</v>
      </c>
      <c r="W261" t="s">
        <v>670</v>
      </c>
      <c r="X261" t="s">
        <v>671</v>
      </c>
      <c r="Y261" t="s">
        <v>2616</v>
      </c>
      <c r="Z261" t="s">
        <v>4250</v>
      </c>
      <c r="AA261" t="s">
        <v>4251</v>
      </c>
      <c r="AB261" t="s">
        <v>4252</v>
      </c>
      <c r="AC261" t="s">
        <v>74</v>
      </c>
      <c r="AD261" t="s">
        <v>74</v>
      </c>
      <c r="AE261" t="s">
        <v>74</v>
      </c>
      <c r="AF261" t="s">
        <v>74</v>
      </c>
      <c r="AG261">
        <v>46</v>
      </c>
      <c r="AH261">
        <v>407</v>
      </c>
      <c r="AI261">
        <v>429</v>
      </c>
      <c r="AJ261">
        <v>0</v>
      </c>
      <c r="AK261">
        <v>12</v>
      </c>
      <c r="AL261" t="s">
        <v>527</v>
      </c>
      <c r="AM261" t="s">
        <v>528</v>
      </c>
      <c r="AN261" t="s">
        <v>529</v>
      </c>
      <c r="AO261" t="s">
        <v>846</v>
      </c>
      <c r="AP261" t="s">
        <v>847</v>
      </c>
      <c r="AQ261" t="s">
        <v>74</v>
      </c>
      <c r="AR261" t="s">
        <v>848</v>
      </c>
      <c r="AS261" t="s">
        <v>849</v>
      </c>
      <c r="AT261" t="s">
        <v>4253</v>
      </c>
      <c r="AU261">
        <v>2005</v>
      </c>
      <c r="AV261">
        <v>110</v>
      </c>
      <c r="AW261" t="s">
        <v>4112</v>
      </c>
      <c r="AX261" t="s">
        <v>74</v>
      </c>
      <c r="AY261" t="s">
        <v>74</v>
      </c>
      <c r="AZ261" t="s">
        <v>74</v>
      </c>
      <c r="BA261" t="s">
        <v>74</v>
      </c>
      <c r="BB261" t="s">
        <v>74</v>
      </c>
      <c r="BC261" t="s">
        <v>74</v>
      </c>
      <c r="BD261" t="s">
        <v>4254</v>
      </c>
      <c r="BE261" t="s">
        <v>4255</v>
      </c>
      <c r="BF261" t="str">
        <f>HYPERLINK("http://dx.doi.org/10.1029/2004JA010851","http://dx.doi.org/10.1029/2004JA010851")</f>
        <v>http://dx.doi.org/10.1029/2004JA010851</v>
      </c>
      <c r="BG261" t="s">
        <v>74</v>
      </c>
      <c r="BH261" t="s">
        <v>74</v>
      </c>
      <c r="BI261">
        <v>15</v>
      </c>
      <c r="BJ261" t="s">
        <v>853</v>
      </c>
      <c r="BK261" t="s">
        <v>95</v>
      </c>
      <c r="BL261" t="s">
        <v>853</v>
      </c>
      <c r="BM261" t="s">
        <v>4256</v>
      </c>
      <c r="BN261" t="s">
        <v>74</v>
      </c>
      <c r="BO261" t="s">
        <v>74</v>
      </c>
      <c r="BP261" t="s">
        <v>74</v>
      </c>
      <c r="BQ261" t="s">
        <v>74</v>
      </c>
      <c r="BR261" t="s">
        <v>97</v>
      </c>
      <c r="BS261" t="s">
        <v>4257</v>
      </c>
      <c r="BT261" t="str">
        <f>HYPERLINK("https%3A%2F%2Fwww.webofscience.com%2Fwos%2Fwoscc%2Ffull-record%2FWOS:000228381800007","View Full Record in Web of Science")</f>
        <v>View Full Record in Web of Science</v>
      </c>
    </row>
    <row r="262" spans="1:72" x14ac:dyDescent="0.15">
      <c r="A262" t="s">
        <v>72</v>
      </c>
      <c r="B262" t="s">
        <v>4258</v>
      </c>
      <c r="C262" t="s">
        <v>74</v>
      </c>
      <c r="D262" t="s">
        <v>74</v>
      </c>
      <c r="E262" t="s">
        <v>74</v>
      </c>
      <c r="F262" t="s">
        <v>4258</v>
      </c>
      <c r="G262" t="s">
        <v>74</v>
      </c>
      <c r="H262" t="s">
        <v>74</v>
      </c>
      <c r="I262" t="s">
        <v>4259</v>
      </c>
      <c r="J262" t="s">
        <v>519</v>
      </c>
      <c r="K262" t="s">
        <v>74</v>
      </c>
      <c r="L262" t="s">
        <v>74</v>
      </c>
      <c r="M262" t="s">
        <v>77</v>
      </c>
      <c r="N262" t="s">
        <v>249</v>
      </c>
      <c r="O262" t="s">
        <v>74</v>
      </c>
      <c r="P262" t="s">
        <v>74</v>
      </c>
      <c r="Q262" t="s">
        <v>74</v>
      </c>
      <c r="R262" t="s">
        <v>74</v>
      </c>
      <c r="S262" t="s">
        <v>74</v>
      </c>
      <c r="T262" t="s">
        <v>74</v>
      </c>
      <c r="U262" t="s">
        <v>74</v>
      </c>
      <c r="V262" t="s">
        <v>74</v>
      </c>
      <c r="W262" t="s">
        <v>4260</v>
      </c>
      <c r="X262" t="s">
        <v>4261</v>
      </c>
      <c r="Y262" t="s">
        <v>4262</v>
      </c>
      <c r="Z262" t="s">
        <v>4263</v>
      </c>
      <c r="AA262" t="s">
        <v>4264</v>
      </c>
      <c r="AB262" t="s">
        <v>4265</v>
      </c>
      <c r="AC262" t="s">
        <v>74</v>
      </c>
      <c r="AD262" t="s">
        <v>74</v>
      </c>
      <c r="AE262" t="s">
        <v>74</v>
      </c>
      <c r="AF262" t="s">
        <v>74</v>
      </c>
      <c r="AG262">
        <v>2</v>
      </c>
      <c r="AH262">
        <v>1</v>
      </c>
      <c r="AI262">
        <v>1</v>
      </c>
      <c r="AJ262">
        <v>0</v>
      </c>
      <c r="AK262">
        <v>5</v>
      </c>
      <c r="AL262" t="s">
        <v>527</v>
      </c>
      <c r="AM262" t="s">
        <v>528</v>
      </c>
      <c r="AN262" t="s">
        <v>529</v>
      </c>
      <c r="AO262" t="s">
        <v>530</v>
      </c>
      <c r="AP262" t="s">
        <v>74</v>
      </c>
      <c r="AQ262" t="s">
        <v>74</v>
      </c>
      <c r="AR262" t="s">
        <v>532</v>
      </c>
      <c r="AS262" t="s">
        <v>533</v>
      </c>
      <c r="AT262" t="s">
        <v>4266</v>
      </c>
      <c r="AU262">
        <v>2005</v>
      </c>
      <c r="AV262">
        <v>32</v>
      </c>
      <c r="AW262">
        <v>7</v>
      </c>
      <c r="AX262" t="s">
        <v>74</v>
      </c>
      <c r="AY262" t="s">
        <v>74</v>
      </c>
      <c r="AZ262" t="s">
        <v>74</v>
      </c>
      <c r="BA262" t="s">
        <v>74</v>
      </c>
      <c r="BB262" t="s">
        <v>74</v>
      </c>
      <c r="BC262" t="s">
        <v>74</v>
      </c>
      <c r="BD262" t="s">
        <v>4267</v>
      </c>
      <c r="BE262" t="s">
        <v>4268</v>
      </c>
      <c r="BF262" t="str">
        <f>HYPERLINK("http://dx.doi.org/10.1029/2005GL022595","http://dx.doi.org/10.1029/2005GL022595")</f>
        <v>http://dx.doi.org/10.1029/2005GL022595</v>
      </c>
      <c r="BG262" t="s">
        <v>74</v>
      </c>
      <c r="BH262" t="s">
        <v>74</v>
      </c>
      <c r="BI262">
        <v>1</v>
      </c>
      <c r="BJ262" t="s">
        <v>537</v>
      </c>
      <c r="BK262" t="s">
        <v>95</v>
      </c>
      <c r="BL262" t="s">
        <v>307</v>
      </c>
      <c r="BM262" t="s">
        <v>4269</v>
      </c>
      <c r="BN262" t="s">
        <v>74</v>
      </c>
      <c r="BO262" t="s">
        <v>750</v>
      </c>
      <c r="BP262" t="s">
        <v>74</v>
      </c>
      <c r="BQ262" t="s">
        <v>74</v>
      </c>
      <c r="BR262" t="s">
        <v>97</v>
      </c>
      <c r="BS262" t="s">
        <v>4270</v>
      </c>
      <c r="BT262" t="str">
        <f>HYPERLINK("https%3A%2F%2Fwww.webofscience.com%2Fwos%2Fwoscc%2Ffull-record%2FWOS:000228377000005","View Full Record in Web of Science")</f>
        <v>View Full Record in Web of Science</v>
      </c>
    </row>
    <row r="263" spans="1:72" x14ac:dyDescent="0.15">
      <c r="A263" t="s">
        <v>72</v>
      </c>
      <c r="B263" t="s">
        <v>4271</v>
      </c>
      <c r="C263" t="s">
        <v>74</v>
      </c>
      <c r="D263" t="s">
        <v>74</v>
      </c>
      <c r="E263" t="s">
        <v>74</v>
      </c>
      <c r="F263" t="s">
        <v>4271</v>
      </c>
      <c r="G263" t="s">
        <v>74</v>
      </c>
      <c r="H263" t="s">
        <v>74</v>
      </c>
      <c r="I263" t="s">
        <v>4272</v>
      </c>
      <c r="J263" t="s">
        <v>519</v>
      </c>
      <c r="K263" t="s">
        <v>74</v>
      </c>
      <c r="L263" t="s">
        <v>74</v>
      </c>
      <c r="M263" t="s">
        <v>77</v>
      </c>
      <c r="N263" t="s">
        <v>249</v>
      </c>
      <c r="O263" t="s">
        <v>74</v>
      </c>
      <c r="P263" t="s">
        <v>74</v>
      </c>
      <c r="Q263" t="s">
        <v>74</v>
      </c>
      <c r="R263" t="s">
        <v>74</v>
      </c>
      <c r="S263" t="s">
        <v>74</v>
      </c>
      <c r="T263" t="s">
        <v>74</v>
      </c>
      <c r="U263" t="s">
        <v>4273</v>
      </c>
      <c r="V263" t="s">
        <v>74</v>
      </c>
      <c r="W263" t="s">
        <v>4274</v>
      </c>
      <c r="X263" t="s">
        <v>4275</v>
      </c>
      <c r="Y263" t="s">
        <v>4276</v>
      </c>
      <c r="Z263" t="s">
        <v>4277</v>
      </c>
      <c r="AA263" t="s">
        <v>4278</v>
      </c>
      <c r="AB263" t="s">
        <v>4279</v>
      </c>
      <c r="AC263" t="s">
        <v>74</v>
      </c>
      <c r="AD263" t="s">
        <v>74</v>
      </c>
      <c r="AE263" t="s">
        <v>74</v>
      </c>
      <c r="AF263" t="s">
        <v>74</v>
      </c>
      <c r="AG263">
        <v>8</v>
      </c>
      <c r="AH263">
        <v>0</v>
      </c>
      <c r="AI263">
        <v>0</v>
      </c>
      <c r="AJ263">
        <v>0</v>
      </c>
      <c r="AK263">
        <v>3</v>
      </c>
      <c r="AL263" t="s">
        <v>527</v>
      </c>
      <c r="AM263" t="s">
        <v>528</v>
      </c>
      <c r="AN263" t="s">
        <v>529</v>
      </c>
      <c r="AO263" t="s">
        <v>530</v>
      </c>
      <c r="AP263" t="s">
        <v>74</v>
      </c>
      <c r="AQ263" t="s">
        <v>74</v>
      </c>
      <c r="AR263" t="s">
        <v>532</v>
      </c>
      <c r="AS263" t="s">
        <v>533</v>
      </c>
      <c r="AT263" t="s">
        <v>4266</v>
      </c>
      <c r="AU263">
        <v>2005</v>
      </c>
      <c r="AV263">
        <v>32</v>
      </c>
      <c r="AW263">
        <v>7</v>
      </c>
      <c r="AX263" t="s">
        <v>74</v>
      </c>
      <c r="AY263" t="s">
        <v>74</v>
      </c>
      <c r="AZ263" t="s">
        <v>74</v>
      </c>
      <c r="BA263" t="s">
        <v>74</v>
      </c>
      <c r="BB263" t="s">
        <v>74</v>
      </c>
      <c r="BC263" t="s">
        <v>74</v>
      </c>
      <c r="BD263" t="s">
        <v>4280</v>
      </c>
      <c r="BE263" t="s">
        <v>4281</v>
      </c>
      <c r="BF263" t="str">
        <f>HYPERLINK("http://dx.doi.org/10.1029/2004GL021716","http://dx.doi.org/10.1029/2004GL021716")</f>
        <v>http://dx.doi.org/10.1029/2004GL021716</v>
      </c>
      <c r="BG263" t="s">
        <v>74</v>
      </c>
      <c r="BH263" t="s">
        <v>74</v>
      </c>
      <c r="BI263">
        <v>2</v>
      </c>
      <c r="BJ263" t="s">
        <v>537</v>
      </c>
      <c r="BK263" t="s">
        <v>95</v>
      </c>
      <c r="BL263" t="s">
        <v>307</v>
      </c>
      <c r="BM263" t="s">
        <v>4269</v>
      </c>
      <c r="BN263" t="s">
        <v>74</v>
      </c>
      <c r="BO263" t="s">
        <v>750</v>
      </c>
      <c r="BP263" t="s">
        <v>74</v>
      </c>
      <c r="BQ263" t="s">
        <v>74</v>
      </c>
      <c r="BR263" t="s">
        <v>97</v>
      </c>
      <c r="BS263" t="s">
        <v>4282</v>
      </c>
      <c r="BT263" t="str">
        <f>HYPERLINK("https%3A%2F%2Fwww.webofscience.com%2Fwos%2Fwoscc%2Ffull-record%2FWOS:000228377000001","View Full Record in Web of Science")</f>
        <v>View Full Record in Web of Science</v>
      </c>
    </row>
    <row r="264" spans="1:72" x14ac:dyDescent="0.15">
      <c r="A264" t="s">
        <v>72</v>
      </c>
      <c r="B264" t="s">
        <v>4283</v>
      </c>
      <c r="C264" t="s">
        <v>74</v>
      </c>
      <c r="D264" t="s">
        <v>74</v>
      </c>
      <c r="E264" t="s">
        <v>74</v>
      </c>
      <c r="F264" t="s">
        <v>4283</v>
      </c>
      <c r="G264" t="s">
        <v>74</v>
      </c>
      <c r="H264" t="s">
        <v>74</v>
      </c>
      <c r="I264" t="s">
        <v>4284</v>
      </c>
      <c r="J264" t="s">
        <v>519</v>
      </c>
      <c r="K264" t="s">
        <v>74</v>
      </c>
      <c r="L264" t="s">
        <v>74</v>
      </c>
      <c r="M264" t="s">
        <v>77</v>
      </c>
      <c r="N264" t="s">
        <v>78</v>
      </c>
      <c r="O264" t="s">
        <v>74</v>
      </c>
      <c r="P264" t="s">
        <v>74</v>
      </c>
      <c r="Q264" t="s">
        <v>74</v>
      </c>
      <c r="R264" t="s">
        <v>74</v>
      </c>
      <c r="S264" t="s">
        <v>74</v>
      </c>
      <c r="T264" t="s">
        <v>74</v>
      </c>
      <c r="U264" t="s">
        <v>74</v>
      </c>
      <c r="V264" t="s">
        <v>4285</v>
      </c>
      <c r="W264" t="s">
        <v>4286</v>
      </c>
      <c r="X264" t="s">
        <v>4287</v>
      </c>
      <c r="Y264" t="s">
        <v>4288</v>
      </c>
      <c r="Z264" t="s">
        <v>4289</v>
      </c>
      <c r="AA264" t="s">
        <v>2664</v>
      </c>
      <c r="AB264" t="s">
        <v>2665</v>
      </c>
      <c r="AC264" t="s">
        <v>74</v>
      </c>
      <c r="AD264" t="s">
        <v>74</v>
      </c>
      <c r="AE264" t="s">
        <v>74</v>
      </c>
      <c r="AF264" t="s">
        <v>74</v>
      </c>
      <c r="AG264">
        <v>8</v>
      </c>
      <c r="AH264">
        <v>170</v>
      </c>
      <c r="AI264">
        <v>181</v>
      </c>
      <c r="AJ264">
        <v>0</v>
      </c>
      <c r="AK264">
        <v>11</v>
      </c>
      <c r="AL264" t="s">
        <v>527</v>
      </c>
      <c r="AM264" t="s">
        <v>528</v>
      </c>
      <c r="AN264" t="s">
        <v>529</v>
      </c>
      <c r="AO264" t="s">
        <v>530</v>
      </c>
      <c r="AP264" t="s">
        <v>531</v>
      </c>
      <c r="AQ264" t="s">
        <v>74</v>
      </c>
      <c r="AR264" t="s">
        <v>532</v>
      </c>
      <c r="AS264" t="s">
        <v>533</v>
      </c>
      <c r="AT264" t="s">
        <v>4290</v>
      </c>
      <c r="AU264">
        <v>2005</v>
      </c>
      <c r="AV264">
        <v>32</v>
      </c>
      <c r="AW264">
        <v>7</v>
      </c>
      <c r="AX264" t="s">
        <v>74</v>
      </c>
      <c r="AY264" t="s">
        <v>74</v>
      </c>
      <c r="AZ264" t="s">
        <v>74</v>
      </c>
      <c r="BA264" t="s">
        <v>74</v>
      </c>
      <c r="BB264" t="s">
        <v>74</v>
      </c>
      <c r="BC264" t="s">
        <v>74</v>
      </c>
      <c r="BD264" t="s">
        <v>4291</v>
      </c>
      <c r="BE264" t="s">
        <v>4292</v>
      </c>
      <c r="BF264" t="str">
        <f>HYPERLINK("http://dx.doi.org/10.1029/2005GL022419","http://dx.doi.org/10.1029/2005GL022419")</f>
        <v>http://dx.doi.org/10.1029/2005GL022419</v>
      </c>
      <c r="BG264" t="s">
        <v>74</v>
      </c>
      <c r="BH264" t="s">
        <v>74</v>
      </c>
      <c r="BI264">
        <v>4</v>
      </c>
      <c r="BJ264" t="s">
        <v>537</v>
      </c>
      <c r="BK264" t="s">
        <v>95</v>
      </c>
      <c r="BL264" t="s">
        <v>307</v>
      </c>
      <c r="BM264" t="s">
        <v>4293</v>
      </c>
      <c r="BN264" t="s">
        <v>74</v>
      </c>
      <c r="BO264" t="s">
        <v>74</v>
      </c>
      <c r="BP264" t="s">
        <v>74</v>
      </c>
      <c r="BQ264" t="s">
        <v>74</v>
      </c>
      <c r="BR264" t="s">
        <v>97</v>
      </c>
      <c r="BS264" t="s">
        <v>4294</v>
      </c>
      <c r="BT264" t="str">
        <f>HYPERLINK("https%3A%2F%2Fwww.webofscience.com%2Fwos%2Fwoscc%2Ffull-record%2FWOS:000228376500005","View Full Record in Web of Science")</f>
        <v>View Full Record in Web of Science</v>
      </c>
    </row>
    <row r="265" spans="1:72" x14ac:dyDescent="0.15">
      <c r="A265" t="s">
        <v>72</v>
      </c>
      <c r="B265" t="s">
        <v>4295</v>
      </c>
      <c r="C265" t="s">
        <v>74</v>
      </c>
      <c r="D265" t="s">
        <v>74</v>
      </c>
      <c r="E265" t="s">
        <v>74</v>
      </c>
      <c r="F265" t="s">
        <v>4295</v>
      </c>
      <c r="G265" t="s">
        <v>74</v>
      </c>
      <c r="H265" t="s">
        <v>74</v>
      </c>
      <c r="I265" t="s">
        <v>4296</v>
      </c>
      <c r="J265" t="s">
        <v>1868</v>
      </c>
      <c r="K265" t="s">
        <v>74</v>
      </c>
      <c r="L265" t="s">
        <v>74</v>
      </c>
      <c r="M265" t="s">
        <v>77</v>
      </c>
      <c r="N265" t="s">
        <v>78</v>
      </c>
      <c r="O265" t="s">
        <v>74</v>
      </c>
      <c r="P265" t="s">
        <v>74</v>
      </c>
      <c r="Q265" t="s">
        <v>74</v>
      </c>
      <c r="R265" t="s">
        <v>74</v>
      </c>
      <c r="S265" t="s">
        <v>74</v>
      </c>
      <c r="T265" t="s">
        <v>74</v>
      </c>
      <c r="U265" t="s">
        <v>4297</v>
      </c>
      <c r="V265" t="s">
        <v>4298</v>
      </c>
      <c r="W265" t="s">
        <v>4299</v>
      </c>
      <c r="X265" t="s">
        <v>4300</v>
      </c>
      <c r="Y265" t="s">
        <v>4301</v>
      </c>
      <c r="Z265" t="s">
        <v>4302</v>
      </c>
      <c r="AA265" t="s">
        <v>4303</v>
      </c>
      <c r="AB265" t="s">
        <v>4304</v>
      </c>
      <c r="AC265" t="s">
        <v>74</v>
      </c>
      <c r="AD265" t="s">
        <v>74</v>
      </c>
      <c r="AE265" t="s">
        <v>74</v>
      </c>
      <c r="AF265" t="s">
        <v>74</v>
      </c>
      <c r="AG265">
        <v>62</v>
      </c>
      <c r="AH265">
        <v>43</v>
      </c>
      <c r="AI265">
        <v>46</v>
      </c>
      <c r="AJ265">
        <v>0</v>
      </c>
      <c r="AK265">
        <v>16</v>
      </c>
      <c r="AL265" t="s">
        <v>527</v>
      </c>
      <c r="AM265" t="s">
        <v>528</v>
      </c>
      <c r="AN265" t="s">
        <v>529</v>
      </c>
      <c r="AO265" t="s">
        <v>1877</v>
      </c>
      <c r="AP265" t="s">
        <v>1878</v>
      </c>
      <c r="AQ265" t="s">
        <v>74</v>
      </c>
      <c r="AR265" t="s">
        <v>1879</v>
      </c>
      <c r="AS265" t="s">
        <v>1880</v>
      </c>
      <c r="AT265" t="s">
        <v>4305</v>
      </c>
      <c r="AU265">
        <v>2005</v>
      </c>
      <c r="AV265">
        <v>110</v>
      </c>
      <c r="AW265" t="s">
        <v>4306</v>
      </c>
      <c r="AX265" t="s">
        <v>74</v>
      </c>
      <c r="AY265" t="s">
        <v>74</v>
      </c>
      <c r="AZ265" t="s">
        <v>74</v>
      </c>
      <c r="BA265" t="s">
        <v>74</v>
      </c>
      <c r="BB265" t="s">
        <v>74</v>
      </c>
      <c r="BC265" t="s">
        <v>74</v>
      </c>
      <c r="BD265" t="s">
        <v>4307</v>
      </c>
      <c r="BE265" t="s">
        <v>4308</v>
      </c>
      <c r="BF265" t="str">
        <f>HYPERLINK("http://dx.doi.org/10.1029/2004JD005223","http://dx.doi.org/10.1029/2004JD005223")</f>
        <v>http://dx.doi.org/10.1029/2004JD005223</v>
      </c>
      <c r="BG265" t="s">
        <v>74</v>
      </c>
      <c r="BH265" t="s">
        <v>74</v>
      </c>
      <c r="BI265">
        <v>11</v>
      </c>
      <c r="BJ265" t="s">
        <v>401</v>
      </c>
      <c r="BK265" t="s">
        <v>95</v>
      </c>
      <c r="BL265" t="s">
        <v>401</v>
      </c>
      <c r="BM265" t="s">
        <v>4309</v>
      </c>
      <c r="BN265" t="s">
        <v>74</v>
      </c>
      <c r="BO265" t="s">
        <v>613</v>
      </c>
      <c r="BP265" t="s">
        <v>74</v>
      </c>
      <c r="BQ265" t="s">
        <v>74</v>
      </c>
      <c r="BR265" t="s">
        <v>97</v>
      </c>
      <c r="BS265" t="s">
        <v>4310</v>
      </c>
      <c r="BT265" t="str">
        <f>HYPERLINK("https%3A%2F%2Fwww.webofscience.com%2Fwos%2Fwoscc%2Ffull-record%2FWOS:000228378100002","View Full Record in Web of Science")</f>
        <v>View Full Record in Web of Science</v>
      </c>
    </row>
    <row r="266" spans="1:72" x14ac:dyDescent="0.15">
      <c r="A266" t="s">
        <v>72</v>
      </c>
      <c r="B266" t="s">
        <v>4311</v>
      </c>
      <c r="C266" t="s">
        <v>74</v>
      </c>
      <c r="D266" t="s">
        <v>74</v>
      </c>
      <c r="E266" t="s">
        <v>74</v>
      </c>
      <c r="F266" t="s">
        <v>4311</v>
      </c>
      <c r="G266" t="s">
        <v>74</v>
      </c>
      <c r="H266" t="s">
        <v>74</v>
      </c>
      <c r="I266" t="s">
        <v>4312</v>
      </c>
      <c r="J266" t="s">
        <v>519</v>
      </c>
      <c r="K266" t="s">
        <v>74</v>
      </c>
      <c r="L266" t="s">
        <v>74</v>
      </c>
      <c r="M266" t="s">
        <v>77</v>
      </c>
      <c r="N266" t="s">
        <v>78</v>
      </c>
      <c r="O266" t="s">
        <v>74</v>
      </c>
      <c r="P266" t="s">
        <v>74</v>
      </c>
      <c r="Q266" t="s">
        <v>74</v>
      </c>
      <c r="R266" t="s">
        <v>74</v>
      </c>
      <c r="S266" t="s">
        <v>74</v>
      </c>
      <c r="T266" t="s">
        <v>74</v>
      </c>
      <c r="U266" t="s">
        <v>4313</v>
      </c>
      <c r="V266" t="s">
        <v>4314</v>
      </c>
      <c r="W266" t="s">
        <v>4109</v>
      </c>
      <c r="X266" t="s">
        <v>671</v>
      </c>
      <c r="Y266" t="s">
        <v>4315</v>
      </c>
      <c r="Z266" t="s">
        <v>4316</v>
      </c>
      <c r="AA266" t="s">
        <v>74</v>
      </c>
      <c r="AB266" t="s">
        <v>74</v>
      </c>
      <c r="AC266" t="s">
        <v>74</v>
      </c>
      <c r="AD266" t="s">
        <v>74</v>
      </c>
      <c r="AE266" t="s">
        <v>74</v>
      </c>
      <c r="AF266" t="s">
        <v>74</v>
      </c>
      <c r="AG266">
        <v>17</v>
      </c>
      <c r="AH266">
        <v>9</v>
      </c>
      <c r="AI266">
        <v>10</v>
      </c>
      <c r="AJ266">
        <v>1</v>
      </c>
      <c r="AK266">
        <v>5</v>
      </c>
      <c r="AL266" t="s">
        <v>527</v>
      </c>
      <c r="AM266" t="s">
        <v>528</v>
      </c>
      <c r="AN266" t="s">
        <v>529</v>
      </c>
      <c r="AO266" t="s">
        <v>530</v>
      </c>
      <c r="AP266" t="s">
        <v>74</v>
      </c>
      <c r="AQ266" t="s">
        <v>74</v>
      </c>
      <c r="AR266" t="s">
        <v>532</v>
      </c>
      <c r="AS266" t="s">
        <v>533</v>
      </c>
      <c r="AT266" t="s">
        <v>4317</v>
      </c>
      <c r="AU266">
        <v>2005</v>
      </c>
      <c r="AV266">
        <v>32</v>
      </c>
      <c r="AW266">
        <v>7</v>
      </c>
      <c r="AX266" t="s">
        <v>74</v>
      </c>
      <c r="AY266" t="s">
        <v>74</v>
      </c>
      <c r="AZ266" t="s">
        <v>74</v>
      </c>
      <c r="BA266" t="s">
        <v>74</v>
      </c>
      <c r="BB266" t="s">
        <v>74</v>
      </c>
      <c r="BC266" t="s">
        <v>74</v>
      </c>
      <c r="BD266" t="s">
        <v>4318</v>
      </c>
      <c r="BE266" t="s">
        <v>4319</v>
      </c>
      <c r="BF266" t="str">
        <f>HYPERLINK("http://dx.doi.org/10.1029/2004GL021898","http://dx.doi.org/10.1029/2004GL021898")</f>
        <v>http://dx.doi.org/10.1029/2004GL021898</v>
      </c>
      <c r="BG266" t="s">
        <v>74</v>
      </c>
      <c r="BH266" t="s">
        <v>74</v>
      </c>
      <c r="BI266">
        <v>4</v>
      </c>
      <c r="BJ266" t="s">
        <v>537</v>
      </c>
      <c r="BK266" t="s">
        <v>95</v>
      </c>
      <c r="BL266" t="s">
        <v>307</v>
      </c>
      <c r="BM266" t="s">
        <v>4320</v>
      </c>
      <c r="BN266" t="s">
        <v>74</v>
      </c>
      <c r="BO266" t="s">
        <v>74</v>
      </c>
      <c r="BP266" t="s">
        <v>74</v>
      </c>
      <c r="BQ266" t="s">
        <v>74</v>
      </c>
      <c r="BR266" t="s">
        <v>97</v>
      </c>
      <c r="BS266" t="s">
        <v>4321</v>
      </c>
      <c r="BT266" t="str">
        <f>HYPERLINK("https%3A%2F%2Fwww.webofscience.com%2Fwos%2Fwoscc%2Ffull-record%2FWOS:000228365300002","View Full Record in Web of Science")</f>
        <v>View Full Record in Web of Science</v>
      </c>
    </row>
    <row r="267" spans="1:72" x14ac:dyDescent="0.15">
      <c r="A267" t="s">
        <v>72</v>
      </c>
      <c r="B267" t="s">
        <v>4322</v>
      </c>
      <c r="C267" t="s">
        <v>74</v>
      </c>
      <c r="D267" t="s">
        <v>74</v>
      </c>
      <c r="E267" t="s">
        <v>74</v>
      </c>
      <c r="F267" t="s">
        <v>4322</v>
      </c>
      <c r="G267" t="s">
        <v>74</v>
      </c>
      <c r="H267" t="s">
        <v>74</v>
      </c>
      <c r="I267" t="s">
        <v>4323</v>
      </c>
      <c r="J267" t="s">
        <v>4119</v>
      </c>
      <c r="K267" t="s">
        <v>74</v>
      </c>
      <c r="L267" t="s">
        <v>74</v>
      </c>
      <c r="M267" t="s">
        <v>77</v>
      </c>
      <c r="N267" t="s">
        <v>78</v>
      </c>
      <c r="O267" t="s">
        <v>74</v>
      </c>
      <c r="P267" t="s">
        <v>74</v>
      </c>
      <c r="Q267" t="s">
        <v>74</v>
      </c>
      <c r="R267" t="s">
        <v>74</v>
      </c>
      <c r="S267" t="s">
        <v>74</v>
      </c>
      <c r="T267" t="s">
        <v>74</v>
      </c>
      <c r="U267" t="s">
        <v>4324</v>
      </c>
      <c r="V267" t="s">
        <v>4325</v>
      </c>
      <c r="W267" t="s">
        <v>4326</v>
      </c>
      <c r="X267" t="s">
        <v>4327</v>
      </c>
      <c r="Y267" t="s">
        <v>4328</v>
      </c>
      <c r="Z267" t="s">
        <v>4329</v>
      </c>
      <c r="AA267" t="s">
        <v>4330</v>
      </c>
      <c r="AB267" t="s">
        <v>74</v>
      </c>
      <c r="AC267" t="s">
        <v>74</v>
      </c>
      <c r="AD267" t="s">
        <v>74</v>
      </c>
      <c r="AE267" t="s">
        <v>74</v>
      </c>
      <c r="AF267" t="s">
        <v>74</v>
      </c>
      <c r="AG267">
        <v>49</v>
      </c>
      <c r="AH267">
        <v>37</v>
      </c>
      <c r="AI267">
        <v>41</v>
      </c>
      <c r="AJ267">
        <v>0</v>
      </c>
      <c r="AK267">
        <v>18</v>
      </c>
      <c r="AL267" t="s">
        <v>527</v>
      </c>
      <c r="AM267" t="s">
        <v>528</v>
      </c>
      <c r="AN267" t="s">
        <v>529</v>
      </c>
      <c r="AO267" t="s">
        <v>4128</v>
      </c>
      <c r="AP267" t="s">
        <v>4129</v>
      </c>
      <c r="AQ267" t="s">
        <v>74</v>
      </c>
      <c r="AR267" t="s">
        <v>4130</v>
      </c>
      <c r="AS267" t="s">
        <v>4131</v>
      </c>
      <c r="AT267" t="s">
        <v>4317</v>
      </c>
      <c r="AU267">
        <v>2005</v>
      </c>
      <c r="AV267">
        <v>19</v>
      </c>
      <c r="AW267">
        <v>2</v>
      </c>
      <c r="AX267" t="s">
        <v>74</v>
      </c>
      <c r="AY267" t="s">
        <v>74</v>
      </c>
      <c r="AZ267" t="s">
        <v>74</v>
      </c>
      <c r="BA267" t="s">
        <v>74</v>
      </c>
      <c r="BB267" t="s">
        <v>74</v>
      </c>
      <c r="BC267" t="s">
        <v>74</v>
      </c>
      <c r="BD267" t="s">
        <v>4331</v>
      </c>
      <c r="BE267" t="s">
        <v>4332</v>
      </c>
      <c r="BF267" t="str">
        <f>HYPERLINK("http://dx.doi.org/10.1029/2004GB002408","http://dx.doi.org/10.1029/2004GB002408")</f>
        <v>http://dx.doi.org/10.1029/2004GB002408</v>
      </c>
      <c r="BG267" t="s">
        <v>74</v>
      </c>
      <c r="BH267" t="s">
        <v>74</v>
      </c>
      <c r="BI267">
        <v>14</v>
      </c>
      <c r="BJ267" t="s">
        <v>4135</v>
      </c>
      <c r="BK267" t="s">
        <v>95</v>
      </c>
      <c r="BL267" t="s">
        <v>4136</v>
      </c>
      <c r="BM267" t="s">
        <v>4333</v>
      </c>
      <c r="BN267" t="s">
        <v>74</v>
      </c>
      <c r="BO267" t="s">
        <v>572</v>
      </c>
      <c r="BP267" t="s">
        <v>74</v>
      </c>
      <c r="BQ267" t="s">
        <v>74</v>
      </c>
      <c r="BR267" t="s">
        <v>97</v>
      </c>
      <c r="BS267" t="s">
        <v>4334</v>
      </c>
      <c r="BT267" t="str">
        <f>HYPERLINK("https%3A%2F%2Fwww.webofscience.com%2Fwos%2Fwoscc%2Ffull-record%2FWOS:000228365700002","View Full Record in Web of Science")</f>
        <v>View Full Record in Web of Science</v>
      </c>
    </row>
    <row r="268" spans="1:72" x14ac:dyDescent="0.15">
      <c r="A268" t="s">
        <v>72</v>
      </c>
      <c r="B268" t="s">
        <v>4335</v>
      </c>
      <c r="C268" t="s">
        <v>74</v>
      </c>
      <c r="D268" t="s">
        <v>74</v>
      </c>
      <c r="E268" t="s">
        <v>74</v>
      </c>
      <c r="F268" t="s">
        <v>4335</v>
      </c>
      <c r="G268" t="s">
        <v>74</v>
      </c>
      <c r="H268" t="s">
        <v>74</v>
      </c>
      <c r="I268" t="s">
        <v>4336</v>
      </c>
      <c r="J268" t="s">
        <v>1868</v>
      </c>
      <c r="K268" t="s">
        <v>74</v>
      </c>
      <c r="L268" t="s">
        <v>74</v>
      </c>
      <c r="M268" t="s">
        <v>77</v>
      </c>
      <c r="N268" t="s">
        <v>78</v>
      </c>
      <c r="O268" t="s">
        <v>74</v>
      </c>
      <c r="P268" t="s">
        <v>74</v>
      </c>
      <c r="Q268" t="s">
        <v>74</v>
      </c>
      <c r="R268" t="s">
        <v>74</v>
      </c>
      <c r="S268" t="s">
        <v>74</v>
      </c>
      <c r="T268" t="s">
        <v>74</v>
      </c>
      <c r="U268" t="s">
        <v>4337</v>
      </c>
      <c r="V268" t="s">
        <v>4338</v>
      </c>
      <c r="W268" t="s">
        <v>4339</v>
      </c>
      <c r="X268" t="s">
        <v>4340</v>
      </c>
      <c r="Y268" t="s">
        <v>4341</v>
      </c>
      <c r="Z268" t="s">
        <v>4342</v>
      </c>
      <c r="AA268" t="s">
        <v>4343</v>
      </c>
      <c r="AB268" t="s">
        <v>74</v>
      </c>
      <c r="AC268" t="s">
        <v>74</v>
      </c>
      <c r="AD268" t="s">
        <v>74</v>
      </c>
      <c r="AE268" t="s">
        <v>74</v>
      </c>
      <c r="AF268" t="s">
        <v>74</v>
      </c>
      <c r="AG268">
        <v>41</v>
      </c>
      <c r="AH268">
        <v>36</v>
      </c>
      <c r="AI268">
        <v>40</v>
      </c>
      <c r="AJ268">
        <v>0</v>
      </c>
      <c r="AK268">
        <v>8</v>
      </c>
      <c r="AL268" t="s">
        <v>527</v>
      </c>
      <c r="AM268" t="s">
        <v>528</v>
      </c>
      <c r="AN268" t="s">
        <v>529</v>
      </c>
      <c r="AO268" t="s">
        <v>1877</v>
      </c>
      <c r="AP268" t="s">
        <v>74</v>
      </c>
      <c r="AQ268" t="s">
        <v>74</v>
      </c>
      <c r="AR268" t="s">
        <v>1879</v>
      </c>
      <c r="AS268" t="s">
        <v>1880</v>
      </c>
      <c r="AT268" t="s">
        <v>4317</v>
      </c>
      <c r="AU268">
        <v>2005</v>
      </c>
      <c r="AV268">
        <v>110</v>
      </c>
      <c r="AW268" t="s">
        <v>4306</v>
      </c>
      <c r="AX268" t="s">
        <v>74</v>
      </c>
      <c r="AY268" t="s">
        <v>74</v>
      </c>
      <c r="AZ268" t="s">
        <v>74</v>
      </c>
      <c r="BA268" t="s">
        <v>74</v>
      </c>
      <c r="BB268" t="s">
        <v>74</v>
      </c>
      <c r="BC268" t="s">
        <v>74</v>
      </c>
      <c r="BD268" t="s">
        <v>4344</v>
      </c>
      <c r="BE268" t="s">
        <v>4345</v>
      </c>
      <c r="BF268" t="str">
        <f>HYPERLINK("http://dx.doi.org/10.1029/2004JD005308","http://dx.doi.org/10.1029/2004JD005308")</f>
        <v>http://dx.doi.org/10.1029/2004JD005308</v>
      </c>
      <c r="BG268" t="s">
        <v>74</v>
      </c>
      <c r="BH268" t="s">
        <v>74</v>
      </c>
      <c r="BI268">
        <v>16</v>
      </c>
      <c r="BJ268" t="s">
        <v>401</v>
      </c>
      <c r="BK268" t="s">
        <v>95</v>
      </c>
      <c r="BL268" t="s">
        <v>401</v>
      </c>
      <c r="BM268" t="s">
        <v>4346</v>
      </c>
      <c r="BN268" t="s">
        <v>74</v>
      </c>
      <c r="BO268" t="s">
        <v>539</v>
      </c>
      <c r="BP268" t="s">
        <v>74</v>
      </c>
      <c r="BQ268" t="s">
        <v>74</v>
      </c>
      <c r="BR268" t="s">
        <v>97</v>
      </c>
      <c r="BS268" t="s">
        <v>4347</v>
      </c>
      <c r="BT268" t="str">
        <f>HYPERLINK("https%3A%2F%2Fwww.webofscience.com%2Fwos%2Fwoscc%2Ffull-record%2FWOS:000228366800003","View Full Record in Web of Science")</f>
        <v>View Full Record in Web of Science</v>
      </c>
    </row>
    <row r="269" spans="1:72" x14ac:dyDescent="0.15">
      <c r="A269" t="s">
        <v>72</v>
      </c>
      <c r="B269" t="s">
        <v>4348</v>
      </c>
      <c r="C269" t="s">
        <v>74</v>
      </c>
      <c r="D269" t="s">
        <v>74</v>
      </c>
      <c r="E269" t="s">
        <v>74</v>
      </c>
      <c r="F269" t="s">
        <v>4348</v>
      </c>
      <c r="G269" t="s">
        <v>74</v>
      </c>
      <c r="H269" t="s">
        <v>74</v>
      </c>
      <c r="I269" t="s">
        <v>4349</v>
      </c>
      <c r="J269" t="s">
        <v>4350</v>
      </c>
      <c r="K269" t="s">
        <v>74</v>
      </c>
      <c r="L269" t="s">
        <v>74</v>
      </c>
      <c r="M269" t="s">
        <v>77</v>
      </c>
      <c r="N269" t="s">
        <v>78</v>
      </c>
      <c r="O269" t="s">
        <v>74</v>
      </c>
      <c r="P269" t="s">
        <v>74</v>
      </c>
      <c r="Q269" t="s">
        <v>74</v>
      </c>
      <c r="R269" t="s">
        <v>74</v>
      </c>
      <c r="S269" t="s">
        <v>74</v>
      </c>
      <c r="T269" t="s">
        <v>4351</v>
      </c>
      <c r="U269" t="s">
        <v>4352</v>
      </c>
      <c r="V269" t="s">
        <v>4353</v>
      </c>
      <c r="W269" t="s">
        <v>1241</v>
      </c>
      <c r="X269" t="s">
        <v>1242</v>
      </c>
      <c r="Y269" t="s">
        <v>1243</v>
      </c>
      <c r="Z269" t="s">
        <v>1244</v>
      </c>
      <c r="AA269" t="s">
        <v>1245</v>
      </c>
      <c r="AB269" t="s">
        <v>1246</v>
      </c>
      <c r="AC269" t="s">
        <v>74</v>
      </c>
      <c r="AD269" t="s">
        <v>74</v>
      </c>
      <c r="AE269" t="s">
        <v>74</v>
      </c>
      <c r="AF269" t="s">
        <v>74</v>
      </c>
      <c r="AG269">
        <v>27</v>
      </c>
      <c r="AH269">
        <v>10</v>
      </c>
      <c r="AI269">
        <v>10</v>
      </c>
      <c r="AJ269">
        <v>0</v>
      </c>
      <c r="AK269">
        <v>5</v>
      </c>
      <c r="AL269" t="s">
        <v>1789</v>
      </c>
      <c r="AM269" t="s">
        <v>1790</v>
      </c>
      <c r="AN269" t="s">
        <v>1791</v>
      </c>
      <c r="AO269" t="s">
        <v>4354</v>
      </c>
      <c r="AP269" t="s">
        <v>74</v>
      </c>
      <c r="AQ269" t="s">
        <v>74</v>
      </c>
      <c r="AR269" t="s">
        <v>4355</v>
      </c>
      <c r="AS269" t="s">
        <v>4356</v>
      </c>
      <c r="AT269" t="s">
        <v>4357</v>
      </c>
      <c r="AU269">
        <v>2005</v>
      </c>
      <c r="AV269">
        <v>381</v>
      </c>
      <c r="AW269">
        <v>7</v>
      </c>
      <c r="AX269" t="s">
        <v>74</v>
      </c>
      <c r="AY269" t="s">
        <v>74</v>
      </c>
      <c r="AZ269" t="s">
        <v>74</v>
      </c>
      <c r="BA269" t="s">
        <v>74</v>
      </c>
      <c r="BB269">
        <v>1395</v>
      </c>
      <c r="BC269">
        <v>1400</v>
      </c>
      <c r="BD269" t="s">
        <v>74</v>
      </c>
      <c r="BE269" t="s">
        <v>4358</v>
      </c>
      <c r="BF269" t="str">
        <f>HYPERLINK("http://dx.doi.org/10.1007/s00216-005-3057-z","http://dx.doi.org/10.1007/s00216-005-3057-z")</f>
        <v>http://dx.doi.org/10.1007/s00216-005-3057-z</v>
      </c>
      <c r="BG269" t="s">
        <v>74</v>
      </c>
      <c r="BH269" t="s">
        <v>74</v>
      </c>
      <c r="BI269">
        <v>6</v>
      </c>
      <c r="BJ269" t="s">
        <v>1010</v>
      </c>
      <c r="BK269" t="s">
        <v>95</v>
      </c>
      <c r="BL269" t="s">
        <v>1011</v>
      </c>
      <c r="BM269" t="s">
        <v>4359</v>
      </c>
      <c r="BN269">
        <v>15729547</v>
      </c>
      <c r="BO269" t="s">
        <v>74</v>
      </c>
      <c r="BP269" t="s">
        <v>74</v>
      </c>
      <c r="BQ269" t="s">
        <v>74</v>
      </c>
      <c r="BR269" t="s">
        <v>97</v>
      </c>
      <c r="BS269" t="s">
        <v>4360</v>
      </c>
      <c r="BT269" t="str">
        <f>HYPERLINK("https%3A%2F%2Fwww.webofscience.com%2Fwos%2Fwoscc%2Ffull-record%2FWOS:000228278200013","View Full Record in Web of Science")</f>
        <v>View Full Record in Web of Science</v>
      </c>
    </row>
    <row r="270" spans="1:72" x14ac:dyDescent="0.15">
      <c r="A270" t="s">
        <v>72</v>
      </c>
      <c r="B270" t="s">
        <v>4361</v>
      </c>
      <c r="C270" t="s">
        <v>74</v>
      </c>
      <c r="D270" t="s">
        <v>74</v>
      </c>
      <c r="E270" t="s">
        <v>74</v>
      </c>
      <c r="F270" t="s">
        <v>4361</v>
      </c>
      <c r="G270" t="s">
        <v>74</v>
      </c>
      <c r="H270" t="s">
        <v>74</v>
      </c>
      <c r="I270" t="s">
        <v>4362</v>
      </c>
      <c r="J270" t="s">
        <v>4363</v>
      </c>
      <c r="K270" t="s">
        <v>74</v>
      </c>
      <c r="L270" t="s">
        <v>74</v>
      </c>
      <c r="M270" t="s">
        <v>77</v>
      </c>
      <c r="N270" t="s">
        <v>78</v>
      </c>
      <c r="O270" t="s">
        <v>74</v>
      </c>
      <c r="P270" t="s">
        <v>74</v>
      </c>
      <c r="Q270" t="s">
        <v>74</v>
      </c>
      <c r="R270" t="s">
        <v>74</v>
      </c>
      <c r="S270" t="s">
        <v>74</v>
      </c>
      <c r="T270" t="s">
        <v>74</v>
      </c>
      <c r="U270" t="s">
        <v>4364</v>
      </c>
      <c r="V270" t="s">
        <v>4365</v>
      </c>
      <c r="W270" t="s">
        <v>4366</v>
      </c>
      <c r="X270" t="s">
        <v>4367</v>
      </c>
      <c r="Y270" t="s">
        <v>4368</v>
      </c>
      <c r="Z270" t="s">
        <v>4369</v>
      </c>
      <c r="AA270" t="s">
        <v>74</v>
      </c>
      <c r="AB270" t="s">
        <v>4370</v>
      </c>
      <c r="AC270" t="s">
        <v>74</v>
      </c>
      <c r="AD270" t="s">
        <v>74</v>
      </c>
      <c r="AE270" t="s">
        <v>74</v>
      </c>
      <c r="AF270" t="s">
        <v>74</v>
      </c>
      <c r="AG270">
        <v>40</v>
      </c>
      <c r="AH270">
        <v>139</v>
      </c>
      <c r="AI270">
        <v>156</v>
      </c>
      <c r="AJ270">
        <v>2</v>
      </c>
      <c r="AK270">
        <v>40</v>
      </c>
      <c r="AL270" t="s">
        <v>4371</v>
      </c>
      <c r="AM270" t="s">
        <v>4372</v>
      </c>
      <c r="AN270" t="s">
        <v>4373</v>
      </c>
      <c r="AO270" t="s">
        <v>4374</v>
      </c>
      <c r="AP270" t="s">
        <v>4375</v>
      </c>
      <c r="AQ270" t="s">
        <v>74</v>
      </c>
      <c r="AR270" t="s">
        <v>4363</v>
      </c>
      <c r="AS270" t="s">
        <v>4376</v>
      </c>
      <c r="AT270" t="s">
        <v>4357</v>
      </c>
      <c r="AU270">
        <v>2005</v>
      </c>
      <c r="AV270">
        <v>5</v>
      </c>
      <c r="AW270">
        <v>2</v>
      </c>
      <c r="AX270" t="s">
        <v>74</v>
      </c>
      <c r="AY270" t="s">
        <v>74</v>
      </c>
      <c r="AZ270" t="s">
        <v>74</v>
      </c>
      <c r="BA270" t="s">
        <v>74</v>
      </c>
      <c r="BB270">
        <v>127</v>
      </c>
      <c r="BC270">
        <v>140</v>
      </c>
      <c r="BD270" t="s">
        <v>74</v>
      </c>
      <c r="BE270" t="s">
        <v>4377</v>
      </c>
      <c r="BF270" t="str">
        <f>HYPERLINK("http://dx.doi.org/10.1089/ast.2005.5.127","http://dx.doi.org/10.1089/ast.2005.5.127")</f>
        <v>http://dx.doi.org/10.1089/ast.2005.5.127</v>
      </c>
      <c r="BG270" t="s">
        <v>74</v>
      </c>
      <c r="BH270" t="s">
        <v>74</v>
      </c>
      <c r="BI270">
        <v>14</v>
      </c>
      <c r="BJ270" t="s">
        <v>4378</v>
      </c>
      <c r="BK270" t="s">
        <v>95</v>
      </c>
      <c r="BL270" t="s">
        <v>4379</v>
      </c>
      <c r="BM270" t="s">
        <v>4380</v>
      </c>
      <c r="BN270">
        <v>15815164</v>
      </c>
      <c r="BO270" t="s">
        <v>74</v>
      </c>
      <c r="BP270" t="s">
        <v>74</v>
      </c>
      <c r="BQ270" t="s">
        <v>74</v>
      </c>
      <c r="BR270" t="s">
        <v>97</v>
      </c>
      <c r="BS270" t="s">
        <v>4381</v>
      </c>
      <c r="BT270" t="str">
        <f>HYPERLINK("https%3A%2F%2Fwww.webofscience.com%2Fwos%2Fwoscc%2Ffull-record%2FWOS:000228413100003","View Full Record in Web of Science")</f>
        <v>View Full Record in Web of Science</v>
      </c>
    </row>
    <row r="271" spans="1:72" x14ac:dyDescent="0.15">
      <c r="A271" t="s">
        <v>72</v>
      </c>
      <c r="B271" t="s">
        <v>4382</v>
      </c>
      <c r="C271" t="s">
        <v>74</v>
      </c>
      <c r="D271" t="s">
        <v>74</v>
      </c>
      <c r="E271" t="s">
        <v>74</v>
      </c>
      <c r="F271" t="s">
        <v>4382</v>
      </c>
      <c r="G271" t="s">
        <v>74</v>
      </c>
      <c r="H271" t="s">
        <v>74</v>
      </c>
      <c r="I271" t="s">
        <v>4383</v>
      </c>
      <c r="J271" t="s">
        <v>4384</v>
      </c>
      <c r="K271" t="s">
        <v>74</v>
      </c>
      <c r="L271" t="s">
        <v>74</v>
      </c>
      <c r="M271" t="s">
        <v>77</v>
      </c>
      <c r="N271" t="s">
        <v>78</v>
      </c>
      <c r="O271" t="s">
        <v>74</v>
      </c>
      <c r="P271" t="s">
        <v>74</v>
      </c>
      <c r="Q271" t="s">
        <v>74</v>
      </c>
      <c r="R271" t="s">
        <v>74</v>
      </c>
      <c r="S271" t="s">
        <v>74</v>
      </c>
      <c r="T271" t="s">
        <v>74</v>
      </c>
      <c r="U271" t="s">
        <v>4385</v>
      </c>
      <c r="V271" t="s">
        <v>4386</v>
      </c>
      <c r="W271" t="s">
        <v>670</v>
      </c>
      <c r="X271" t="s">
        <v>671</v>
      </c>
      <c r="Y271" t="s">
        <v>230</v>
      </c>
      <c r="Z271" t="s">
        <v>3411</v>
      </c>
      <c r="AA271" t="s">
        <v>4387</v>
      </c>
      <c r="AB271" t="s">
        <v>74</v>
      </c>
      <c r="AC271" t="s">
        <v>74</v>
      </c>
      <c r="AD271" t="s">
        <v>74</v>
      </c>
      <c r="AE271" t="s">
        <v>74</v>
      </c>
      <c r="AF271" t="s">
        <v>74</v>
      </c>
      <c r="AG271">
        <v>30</v>
      </c>
      <c r="AH271">
        <v>46</v>
      </c>
      <c r="AI271">
        <v>54</v>
      </c>
      <c r="AJ271">
        <v>0</v>
      </c>
      <c r="AK271">
        <v>12</v>
      </c>
      <c r="AL271" t="s">
        <v>4388</v>
      </c>
      <c r="AM271" t="s">
        <v>4389</v>
      </c>
      <c r="AN271" t="s">
        <v>4390</v>
      </c>
      <c r="AO271" t="s">
        <v>4391</v>
      </c>
      <c r="AP271" t="s">
        <v>4392</v>
      </c>
      <c r="AQ271" t="s">
        <v>74</v>
      </c>
      <c r="AR271" t="s">
        <v>4393</v>
      </c>
      <c r="AS271" t="s">
        <v>4394</v>
      </c>
      <c r="AT271" t="s">
        <v>4357</v>
      </c>
      <c r="AU271">
        <v>2005</v>
      </c>
      <c r="AV271">
        <v>83</v>
      </c>
      <c r="AW271">
        <v>4</v>
      </c>
      <c r="AX271" t="s">
        <v>74</v>
      </c>
      <c r="AY271" t="s">
        <v>74</v>
      </c>
      <c r="AZ271" t="s">
        <v>74</v>
      </c>
      <c r="BA271" t="s">
        <v>74</v>
      </c>
      <c r="BB271">
        <v>604</v>
      </c>
      <c r="BC271">
        <v>609</v>
      </c>
      <c r="BD271" t="s">
        <v>74</v>
      </c>
      <c r="BE271" t="s">
        <v>4395</v>
      </c>
      <c r="BF271" t="str">
        <f>HYPERLINK("http://dx.doi.org/10.1139/Z05-045","http://dx.doi.org/10.1139/Z05-045")</f>
        <v>http://dx.doi.org/10.1139/Z05-045</v>
      </c>
      <c r="BG271" t="s">
        <v>74</v>
      </c>
      <c r="BH271" t="s">
        <v>74</v>
      </c>
      <c r="BI271">
        <v>6</v>
      </c>
      <c r="BJ271" t="s">
        <v>2430</v>
      </c>
      <c r="BK271" t="s">
        <v>95</v>
      </c>
      <c r="BL271" t="s">
        <v>2430</v>
      </c>
      <c r="BM271" t="s">
        <v>4396</v>
      </c>
      <c r="BN271" t="s">
        <v>74</v>
      </c>
      <c r="BO271" t="s">
        <v>74</v>
      </c>
      <c r="BP271" t="s">
        <v>74</v>
      </c>
      <c r="BQ271" t="s">
        <v>74</v>
      </c>
      <c r="BR271" t="s">
        <v>97</v>
      </c>
      <c r="BS271" t="s">
        <v>4397</v>
      </c>
      <c r="BT271" t="str">
        <f>HYPERLINK("https%3A%2F%2Fwww.webofscience.com%2Fwos%2Fwoscc%2Ffull-record%2FWOS:000230812000010","View Full Record in Web of Science")</f>
        <v>View Full Record in Web of Science</v>
      </c>
    </row>
    <row r="272" spans="1:72" x14ac:dyDescent="0.15">
      <c r="A272" t="s">
        <v>72</v>
      </c>
      <c r="B272" t="s">
        <v>4398</v>
      </c>
      <c r="C272" t="s">
        <v>74</v>
      </c>
      <c r="D272" t="s">
        <v>74</v>
      </c>
      <c r="E272" t="s">
        <v>74</v>
      </c>
      <c r="F272" t="s">
        <v>4398</v>
      </c>
      <c r="G272" t="s">
        <v>74</v>
      </c>
      <c r="H272" t="s">
        <v>74</v>
      </c>
      <c r="I272" t="s">
        <v>4399</v>
      </c>
      <c r="J272" t="s">
        <v>4400</v>
      </c>
      <c r="K272" t="s">
        <v>74</v>
      </c>
      <c r="L272" t="s">
        <v>74</v>
      </c>
      <c r="M272" t="s">
        <v>4401</v>
      </c>
      <c r="N272" t="s">
        <v>78</v>
      </c>
      <c r="O272" t="s">
        <v>74</v>
      </c>
      <c r="P272" t="s">
        <v>74</v>
      </c>
      <c r="Q272" t="s">
        <v>74</v>
      </c>
      <c r="R272" t="s">
        <v>74</v>
      </c>
      <c r="S272" t="s">
        <v>74</v>
      </c>
      <c r="T272" t="s">
        <v>4402</v>
      </c>
      <c r="U272" t="s">
        <v>4403</v>
      </c>
      <c r="V272" t="s">
        <v>4404</v>
      </c>
      <c r="W272" t="s">
        <v>4405</v>
      </c>
      <c r="X272" t="s">
        <v>4406</v>
      </c>
      <c r="Y272" t="s">
        <v>4407</v>
      </c>
      <c r="Z272" t="s">
        <v>4408</v>
      </c>
      <c r="AA272" t="s">
        <v>4409</v>
      </c>
      <c r="AB272" t="s">
        <v>4410</v>
      </c>
      <c r="AC272" t="s">
        <v>74</v>
      </c>
      <c r="AD272" t="s">
        <v>74</v>
      </c>
      <c r="AE272" t="s">
        <v>74</v>
      </c>
      <c r="AF272" t="s">
        <v>74</v>
      </c>
      <c r="AG272">
        <v>11</v>
      </c>
      <c r="AH272">
        <v>10</v>
      </c>
      <c r="AI272">
        <v>13</v>
      </c>
      <c r="AJ272">
        <v>0</v>
      </c>
      <c r="AK272">
        <v>15</v>
      </c>
      <c r="AL272" t="s">
        <v>4411</v>
      </c>
      <c r="AM272" t="s">
        <v>4412</v>
      </c>
      <c r="AN272" t="s">
        <v>4413</v>
      </c>
      <c r="AO272" t="s">
        <v>4414</v>
      </c>
      <c r="AP272" t="s">
        <v>4415</v>
      </c>
      <c r="AQ272" t="s">
        <v>74</v>
      </c>
      <c r="AR272" t="s">
        <v>4416</v>
      </c>
      <c r="AS272" t="s">
        <v>4417</v>
      </c>
      <c r="AT272" t="s">
        <v>4357</v>
      </c>
      <c r="AU272">
        <v>2005</v>
      </c>
      <c r="AV272">
        <v>337</v>
      </c>
      <c r="AW272">
        <v>6</v>
      </c>
      <c r="AX272" t="s">
        <v>74</v>
      </c>
      <c r="AY272" t="s">
        <v>74</v>
      </c>
      <c r="AZ272" t="s">
        <v>74</v>
      </c>
      <c r="BA272" t="s">
        <v>74</v>
      </c>
      <c r="BB272">
        <v>609</v>
      </c>
      <c r="BC272">
        <v>616</v>
      </c>
      <c r="BD272" t="s">
        <v>74</v>
      </c>
      <c r="BE272" t="s">
        <v>4418</v>
      </c>
      <c r="BF272" t="str">
        <f>HYPERLINK("http://dx.doi.org/10.1016/j.crte.2005.01.011","http://dx.doi.org/10.1016/j.crte.2005.01.011")</f>
        <v>http://dx.doi.org/10.1016/j.crte.2005.01.011</v>
      </c>
      <c r="BG272" t="s">
        <v>74</v>
      </c>
      <c r="BH272" t="s">
        <v>74</v>
      </c>
      <c r="BI272">
        <v>8</v>
      </c>
      <c r="BJ272" t="s">
        <v>537</v>
      </c>
      <c r="BK272" t="s">
        <v>95</v>
      </c>
      <c r="BL272" t="s">
        <v>307</v>
      </c>
      <c r="BM272" t="s">
        <v>4419</v>
      </c>
      <c r="BN272" t="s">
        <v>74</v>
      </c>
      <c r="BO272" t="s">
        <v>143</v>
      </c>
      <c r="BP272" t="s">
        <v>74</v>
      </c>
      <c r="BQ272" t="s">
        <v>74</v>
      </c>
      <c r="BR272" t="s">
        <v>97</v>
      </c>
      <c r="BS272" t="s">
        <v>4420</v>
      </c>
      <c r="BT272" t="str">
        <f>HYPERLINK("https%3A%2F%2Fwww.webofscience.com%2Fwos%2Fwoscc%2Ffull-record%2FWOS:000228738100008","View Full Record in Web of Science")</f>
        <v>View Full Record in Web of Science</v>
      </c>
    </row>
    <row r="273" spans="1:72" x14ac:dyDescent="0.15">
      <c r="A273" t="s">
        <v>72</v>
      </c>
      <c r="B273" t="s">
        <v>4421</v>
      </c>
      <c r="C273" t="s">
        <v>74</v>
      </c>
      <c r="D273" t="s">
        <v>74</v>
      </c>
      <c r="E273" t="s">
        <v>74</v>
      </c>
      <c r="F273" t="s">
        <v>4421</v>
      </c>
      <c r="G273" t="s">
        <v>74</v>
      </c>
      <c r="H273" t="s">
        <v>74</v>
      </c>
      <c r="I273" t="s">
        <v>4422</v>
      </c>
      <c r="J273" t="s">
        <v>1493</v>
      </c>
      <c r="K273" t="s">
        <v>74</v>
      </c>
      <c r="L273" t="s">
        <v>74</v>
      </c>
      <c r="M273" t="s">
        <v>77</v>
      </c>
      <c r="N273" t="s">
        <v>78</v>
      </c>
      <c r="O273" t="s">
        <v>74</v>
      </c>
      <c r="P273" t="s">
        <v>74</v>
      </c>
      <c r="Q273" t="s">
        <v>74</v>
      </c>
      <c r="R273" t="s">
        <v>74</v>
      </c>
      <c r="S273" t="s">
        <v>74</v>
      </c>
      <c r="T273" t="s">
        <v>74</v>
      </c>
      <c r="U273" t="s">
        <v>4423</v>
      </c>
      <c r="V273" t="s">
        <v>4424</v>
      </c>
      <c r="W273" t="s">
        <v>4425</v>
      </c>
      <c r="X273" t="s">
        <v>4426</v>
      </c>
      <c r="Y273" t="s">
        <v>4427</v>
      </c>
      <c r="Z273" t="s">
        <v>4428</v>
      </c>
      <c r="AA273" t="s">
        <v>4429</v>
      </c>
      <c r="AB273" t="s">
        <v>4430</v>
      </c>
      <c r="AC273" t="s">
        <v>74</v>
      </c>
      <c r="AD273" t="s">
        <v>74</v>
      </c>
      <c r="AE273" t="s">
        <v>74</v>
      </c>
      <c r="AF273" t="s">
        <v>74</v>
      </c>
      <c r="AG273">
        <v>41</v>
      </c>
      <c r="AH273">
        <v>209</v>
      </c>
      <c r="AI273">
        <v>237</v>
      </c>
      <c r="AJ273">
        <v>0</v>
      </c>
      <c r="AK273">
        <v>51</v>
      </c>
      <c r="AL273" t="s">
        <v>472</v>
      </c>
      <c r="AM273" t="s">
        <v>473</v>
      </c>
      <c r="AN273" t="s">
        <v>474</v>
      </c>
      <c r="AO273" t="s">
        <v>1502</v>
      </c>
      <c r="AP273" t="s">
        <v>1503</v>
      </c>
      <c r="AQ273" t="s">
        <v>74</v>
      </c>
      <c r="AR273" t="s">
        <v>1504</v>
      </c>
      <c r="AS273" t="s">
        <v>1505</v>
      </c>
      <c r="AT273" t="s">
        <v>4357</v>
      </c>
      <c r="AU273">
        <v>2005</v>
      </c>
      <c r="AV273">
        <v>7</v>
      </c>
      <c r="AW273">
        <v>4</v>
      </c>
      <c r="AX273" t="s">
        <v>74</v>
      </c>
      <c r="AY273" t="s">
        <v>74</v>
      </c>
      <c r="AZ273" t="s">
        <v>74</v>
      </c>
      <c r="BA273" t="s">
        <v>74</v>
      </c>
      <c r="BB273">
        <v>519</v>
      </c>
      <c r="BC273">
        <v>529</v>
      </c>
      <c r="BD273" t="s">
        <v>74</v>
      </c>
      <c r="BE273" t="s">
        <v>4431</v>
      </c>
      <c r="BF273" t="str">
        <f>HYPERLINK("http://dx.doi.org/10.1111/j.1462-2920.2005.00717.x","http://dx.doi.org/10.1111/j.1462-2920.2005.00717.x")</f>
        <v>http://dx.doi.org/10.1111/j.1462-2920.2005.00717.x</v>
      </c>
      <c r="BG273" t="s">
        <v>74</v>
      </c>
      <c r="BH273" t="s">
        <v>74</v>
      </c>
      <c r="BI273">
        <v>11</v>
      </c>
      <c r="BJ273" t="s">
        <v>1507</v>
      </c>
      <c r="BK273" t="s">
        <v>95</v>
      </c>
      <c r="BL273" t="s">
        <v>1507</v>
      </c>
      <c r="BM273" t="s">
        <v>4432</v>
      </c>
      <c r="BN273">
        <v>15816929</v>
      </c>
      <c r="BO273" t="s">
        <v>750</v>
      </c>
      <c r="BP273" t="s">
        <v>74</v>
      </c>
      <c r="BQ273" t="s">
        <v>74</v>
      </c>
      <c r="BR273" t="s">
        <v>97</v>
      </c>
      <c r="BS273" t="s">
        <v>4433</v>
      </c>
      <c r="BT273" t="str">
        <f>HYPERLINK("https%3A%2F%2Fwww.webofscience.com%2Fwos%2Fwoscc%2Ffull-record%2FWOS:000227592500019","View Full Record in Web of Science")</f>
        <v>View Full Record in Web of Science</v>
      </c>
    </row>
    <row r="274" spans="1:72" x14ac:dyDescent="0.15">
      <c r="A274" t="s">
        <v>72</v>
      </c>
      <c r="B274" t="s">
        <v>4434</v>
      </c>
      <c r="C274" t="s">
        <v>74</v>
      </c>
      <c r="D274" t="s">
        <v>74</v>
      </c>
      <c r="E274" t="s">
        <v>74</v>
      </c>
      <c r="F274" t="s">
        <v>4434</v>
      </c>
      <c r="G274" t="s">
        <v>74</v>
      </c>
      <c r="H274" t="s">
        <v>74</v>
      </c>
      <c r="I274" t="s">
        <v>4435</v>
      </c>
      <c r="J274" t="s">
        <v>4436</v>
      </c>
      <c r="K274" t="s">
        <v>74</v>
      </c>
      <c r="L274" t="s">
        <v>74</v>
      </c>
      <c r="M274" t="s">
        <v>77</v>
      </c>
      <c r="N274" t="s">
        <v>78</v>
      </c>
      <c r="O274" t="s">
        <v>74</v>
      </c>
      <c r="P274" t="s">
        <v>74</v>
      </c>
      <c r="Q274" t="s">
        <v>74</v>
      </c>
      <c r="R274" t="s">
        <v>74</v>
      </c>
      <c r="S274" t="s">
        <v>74</v>
      </c>
      <c r="T274" t="s">
        <v>74</v>
      </c>
      <c r="U274" t="s">
        <v>4437</v>
      </c>
      <c r="V274" t="s">
        <v>4438</v>
      </c>
      <c r="W274" t="s">
        <v>4439</v>
      </c>
      <c r="X274" t="s">
        <v>4440</v>
      </c>
      <c r="Y274" t="s">
        <v>4441</v>
      </c>
      <c r="Z274" t="s">
        <v>4442</v>
      </c>
      <c r="AA274" t="s">
        <v>74</v>
      </c>
      <c r="AB274" t="s">
        <v>74</v>
      </c>
      <c r="AC274" t="s">
        <v>74</v>
      </c>
      <c r="AD274" t="s">
        <v>74</v>
      </c>
      <c r="AE274" t="s">
        <v>74</v>
      </c>
      <c r="AF274" t="s">
        <v>74</v>
      </c>
      <c r="AG274">
        <v>51</v>
      </c>
      <c r="AH274">
        <v>8</v>
      </c>
      <c r="AI274">
        <v>9</v>
      </c>
      <c r="AJ274">
        <v>0</v>
      </c>
      <c r="AK274">
        <v>5</v>
      </c>
      <c r="AL274" t="s">
        <v>4443</v>
      </c>
      <c r="AM274" t="s">
        <v>88</v>
      </c>
      <c r="AN274" t="s">
        <v>4444</v>
      </c>
      <c r="AO274" t="s">
        <v>4445</v>
      </c>
      <c r="AP274" t="s">
        <v>74</v>
      </c>
      <c r="AQ274" t="s">
        <v>74</v>
      </c>
      <c r="AR274" t="s">
        <v>4436</v>
      </c>
      <c r="AS274" t="s">
        <v>4446</v>
      </c>
      <c r="AT274" t="s">
        <v>4357</v>
      </c>
      <c r="AU274">
        <v>2005</v>
      </c>
      <c r="AV274">
        <v>28</v>
      </c>
      <c r="AW274">
        <v>2</v>
      </c>
      <c r="AX274" t="s">
        <v>74</v>
      </c>
      <c r="AY274" t="s">
        <v>74</v>
      </c>
      <c r="AZ274" t="s">
        <v>74</v>
      </c>
      <c r="BA274" t="s">
        <v>74</v>
      </c>
      <c r="BB274">
        <v>190</v>
      </c>
      <c r="BC274">
        <v>203</v>
      </c>
      <c r="BD274" t="s">
        <v>74</v>
      </c>
      <c r="BE274" t="s">
        <v>4447</v>
      </c>
      <c r="BF274" t="str">
        <f>HYPERLINK("http://dx.doi.org/10.1007/BF02732854","http://dx.doi.org/10.1007/BF02732854")</f>
        <v>http://dx.doi.org/10.1007/BF02732854</v>
      </c>
      <c r="BG274" t="s">
        <v>74</v>
      </c>
      <c r="BH274" t="s">
        <v>74</v>
      </c>
      <c r="BI274">
        <v>14</v>
      </c>
      <c r="BJ274" t="s">
        <v>4448</v>
      </c>
      <c r="BK274" t="s">
        <v>95</v>
      </c>
      <c r="BL274" t="s">
        <v>942</v>
      </c>
      <c r="BM274" t="s">
        <v>4449</v>
      </c>
      <c r="BN274" t="s">
        <v>74</v>
      </c>
      <c r="BO274" t="s">
        <v>74</v>
      </c>
      <c r="BP274" t="s">
        <v>74</v>
      </c>
      <c r="BQ274" t="s">
        <v>74</v>
      </c>
      <c r="BR274" t="s">
        <v>97</v>
      </c>
      <c r="BS274" t="s">
        <v>4450</v>
      </c>
      <c r="BT274" t="str">
        <f>HYPERLINK("https%3A%2F%2Fwww.webofscience.com%2Fwos%2Fwoscc%2Ffull-record%2FWOS:000229274000002","View Full Record in Web of Science")</f>
        <v>View Full Record in Web of Science</v>
      </c>
    </row>
    <row r="275" spans="1:72" x14ac:dyDescent="0.15">
      <c r="A275" t="s">
        <v>72</v>
      </c>
      <c r="B275" t="s">
        <v>4451</v>
      </c>
      <c r="C275" t="s">
        <v>74</v>
      </c>
      <c r="D275" t="s">
        <v>74</v>
      </c>
      <c r="E275" t="s">
        <v>74</v>
      </c>
      <c r="F275" t="s">
        <v>4451</v>
      </c>
      <c r="G275" t="s">
        <v>74</v>
      </c>
      <c r="H275" t="s">
        <v>74</v>
      </c>
      <c r="I275" t="s">
        <v>4452</v>
      </c>
      <c r="J275" t="s">
        <v>4453</v>
      </c>
      <c r="K275" t="s">
        <v>74</v>
      </c>
      <c r="L275" t="s">
        <v>74</v>
      </c>
      <c r="M275" t="s">
        <v>77</v>
      </c>
      <c r="N275" t="s">
        <v>78</v>
      </c>
      <c r="O275" t="s">
        <v>74</v>
      </c>
      <c r="P275" t="s">
        <v>74</v>
      </c>
      <c r="Q275" t="s">
        <v>74</v>
      </c>
      <c r="R275" t="s">
        <v>74</v>
      </c>
      <c r="S275" t="s">
        <v>74</v>
      </c>
      <c r="T275" t="s">
        <v>4454</v>
      </c>
      <c r="U275" t="s">
        <v>4455</v>
      </c>
      <c r="V275" t="s">
        <v>4456</v>
      </c>
      <c r="W275" t="s">
        <v>4457</v>
      </c>
      <c r="X275" t="s">
        <v>4458</v>
      </c>
      <c r="Y275" t="s">
        <v>4459</v>
      </c>
      <c r="Z275" t="s">
        <v>4460</v>
      </c>
      <c r="AA275" t="s">
        <v>74</v>
      </c>
      <c r="AB275" t="s">
        <v>74</v>
      </c>
      <c r="AC275" t="s">
        <v>74</v>
      </c>
      <c r="AD275" t="s">
        <v>74</v>
      </c>
      <c r="AE275" t="s">
        <v>74</v>
      </c>
      <c r="AF275" t="s">
        <v>74</v>
      </c>
      <c r="AG275">
        <v>60</v>
      </c>
      <c r="AH275">
        <v>12</v>
      </c>
      <c r="AI275">
        <v>15</v>
      </c>
      <c r="AJ275">
        <v>0</v>
      </c>
      <c r="AK275">
        <v>22</v>
      </c>
      <c r="AL275" t="s">
        <v>3413</v>
      </c>
      <c r="AM275" t="s">
        <v>739</v>
      </c>
      <c r="AN275" t="s">
        <v>3414</v>
      </c>
      <c r="AO275" t="s">
        <v>4461</v>
      </c>
      <c r="AP275" t="s">
        <v>74</v>
      </c>
      <c r="AQ275" t="s">
        <v>74</v>
      </c>
      <c r="AR275" t="s">
        <v>4462</v>
      </c>
      <c r="AS275" t="s">
        <v>4463</v>
      </c>
      <c r="AT275" t="s">
        <v>4357</v>
      </c>
      <c r="AU275">
        <v>2005</v>
      </c>
      <c r="AV275">
        <v>63</v>
      </c>
      <c r="AW275" t="s">
        <v>442</v>
      </c>
      <c r="AX275" t="s">
        <v>74</v>
      </c>
      <c r="AY275" t="s">
        <v>74</v>
      </c>
      <c r="AZ275" t="s">
        <v>74</v>
      </c>
      <c r="BA275" t="s">
        <v>74</v>
      </c>
      <c r="BB275">
        <v>119</v>
      </c>
      <c r="BC275">
        <v>131</v>
      </c>
      <c r="BD275" t="s">
        <v>74</v>
      </c>
      <c r="BE275" t="s">
        <v>4464</v>
      </c>
      <c r="BF275" t="str">
        <f>HYPERLINK("http://dx.doi.org/10.1016/j.ecss.2004.10.015","http://dx.doi.org/10.1016/j.ecss.2004.10.015")</f>
        <v>http://dx.doi.org/10.1016/j.ecss.2004.10.015</v>
      </c>
      <c r="BG275" t="s">
        <v>74</v>
      </c>
      <c r="BH275" t="s">
        <v>74</v>
      </c>
      <c r="BI275">
        <v>13</v>
      </c>
      <c r="BJ275" t="s">
        <v>3689</v>
      </c>
      <c r="BK275" t="s">
        <v>95</v>
      </c>
      <c r="BL275" t="s">
        <v>3689</v>
      </c>
      <c r="BM275" t="s">
        <v>4465</v>
      </c>
      <c r="BN275" t="s">
        <v>74</v>
      </c>
      <c r="BO275" t="s">
        <v>74</v>
      </c>
      <c r="BP275" t="s">
        <v>74</v>
      </c>
      <c r="BQ275" t="s">
        <v>74</v>
      </c>
      <c r="BR275" t="s">
        <v>97</v>
      </c>
      <c r="BS275" t="s">
        <v>4466</v>
      </c>
      <c r="BT275" t="str">
        <f>HYPERLINK("https%3A%2F%2Fwww.webofscience.com%2Fwos%2Fwoscc%2Ffull-record%2FWOS:000227773300012","View Full Record in Web of Science")</f>
        <v>View Full Record in Web of Science</v>
      </c>
    </row>
    <row r="276" spans="1:72" x14ac:dyDescent="0.15">
      <c r="A276" t="s">
        <v>72</v>
      </c>
      <c r="B276" t="s">
        <v>4467</v>
      </c>
      <c r="C276" t="s">
        <v>74</v>
      </c>
      <c r="D276" t="s">
        <v>74</v>
      </c>
      <c r="E276" t="s">
        <v>74</v>
      </c>
      <c r="F276" t="s">
        <v>4467</v>
      </c>
      <c r="G276" t="s">
        <v>74</v>
      </c>
      <c r="H276" t="s">
        <v>74</v>
      </c>
      <c r="I276" t="s">
        <v>4468</v>
      </c>
      <c r="J276" t="s">
        <v>4469</v>
      </c>
      <c r="K276" t="s">
        <v>74</v>
      </c>
      <c r="L276" t="s">
        <v>74</v>
      </c>
      <c r="M276" t="s">
        <v>77</v>
      </c>
      <c r="N276" t="s">
        <v>78</v>
      </c>
      <c r="O276" t="s">
        <v>74</v>
      </c>
      <c r="P276" t="s">
        <v>74</v>
      </c>
      <c r="Q276" t="s">
        <v>74</v>
      </c>
      <c r="R276" t="s">
        <v>74</v>
      </c>
      <c r="S276" t="s">
        <v>74</v>
      </c>
      <c r="T276" t="s">
        <v>4470</v>
      </c>
      <c r="U276" t="s">
        <v>4471</v>
      </c>
      <c r="V276" t="s">
        <v>4472</v>
      </c>
      <c r="W276" t="s">
        <v>4473</v>
      </c>
      <c r="X276" t="s">
        <v>4474</v>
      </c>
      <c r="Y276" t="s">
        <v>4475</v>
      </c>
      <c r="Z276" t="s">
        <v>4476</v>
      </c>
      <c r="AA276" t="s">
        <v>74</v>
      </c>
      <c r="AB276" t="s">
        <v>74</v>
      </c>
      <c r="AC276" t="s">
        <v>74</v>
      </c>
      <c r="AD276" t="s">
        <v>74</v>
      </c>
      <c r="AE276" t="s">
        <v>74</v>
      </c>
      <c r="AF276" t="s">
        <v>74</v>
      </c>
      <c r="AG276">
        <v>28</v>
      </c>
      <c r="AH276">
        <v>25</v>
      </c>
      <c r="AI276">
        <v>27</v>
      </c>
      <c r="AJ276">
        <v>0</v>
      </c>
      <c r="AK276">
        <v>13</v>
      </c>
      <c r="AL276" t="s">
        <v>4477</v>
      </c>
      <c r="AM276" t="s">
        <v>2276</v>
      </c>
      <c r="AN276" t="s">
        <v>4478</v>
      </c>
      <c r="AO276" t="s">
        <v>4479</v>
      </c>
      <c r="AP276" t="s">
        <v>74</v>
      </c>
      <c r="AQ276" t="s">
        <v>74</v>
      </c>
      <c r="AR276" t="s">
        <v>4480</v>
      </c>
      <c r="AS276" t="s">
        <v>4481</v>
      </c>
      <c r="AT276" t="s">
        <v>4357</v>
      </c>
      <c r="AU276">
        <v>2005</v>
      </c>
      <c r="AV276">
        <v>41</v>
      </c>
      <c r="AW276">
        <v>2</v>
      </c>
      <c r="AX276" t="s">
        <v>74</v>
      </c>
      <c r="AY276" t="s">
        <v>74</v>
      </c>
      <c r="AZ276" t="s">
        <v>74</v>
      </c>
      <c r="BA276" t="s">
        <v>74</v>
      </c>
      <c r="BB276">
        <v>119</v>
      </c>
      <c r="BC276">
        <v>127</v>
      </c>
      <c r="BD276" t="s">
        <v>74</v>
      </c>
      <c r="BE276" t="s">
        <v>4482</v>
      </c>
      <c r="BF276" t="str">
        <f>HYPERLINK("http://dx.doi.org/10.1016/j.ejop.2005.01.003","http://dx.doi.org/10.1016/j.ejop.2005.01.003")</f>
        <v>http://dx.doi.org/10.1016/j.ejop.2005.01.003</v>
      </c>
      <c r="BG276" t="s">
        <v>74</v>
      </c>
      <c r="BH276" t="s">
        <v>74</v>
      </c>
      <c r="BI276">
        <v>9</v>
      </c>
      <c r="BJ276" t="s">
        <v>1507</v>
      </c>
      <c r="BK276" t="s">
        <v>95</v>
      </c>
      <c r="BL276" t="s">
        <v>1507</v>
      </c>
      <c r="BM276" t="s">
        <v>4483</v>
      </c>
      <c r="BN276" t="s">
        <v>74</v>
      </c>
      <c r="BO276" t="s">
        <v>74</v>
      </c>
      <c r="BP276" t="s">
        <v>74</v>
      </c>
      <c r="BQ276" t="s">
        <v>74</v>
      </c>
      <c r="BR276" t="s">
        <v>97</v>
      </c>
      <c r="BS276" t="s">
        <v>4484</v>
      </c>
      <c r="BT276" t="str">
        <f>HYPERLINK("https%3A%2F%2Fwww.webofscience.com%2Fwos%2Fwoscc%2Ffull-record%2FWOS:000230163100004","View Full Record in Web of Science")</f>
        <v>View Full Record in Web of Science</v>
      </c>
    </row>
    <row r="277" spans="1:72" x14ac:dyDescent="0.15">
      <c r="A277" t="s">
        <v>72</v>
      </c>
      <c r="B277" t="s">
        <v>4485</v>
      </c>
      <c r="C277" t="s">
        <v>74</v>
      </c>
      <c r="D277" t="s">
        <v>74</v>
      </c>
      <c r="E277" t="s">
        <v>74</v>
      </c>
      <c r="F277" t="s">
        <v>4485</v>
      </c>
      <c r="G277" t="s">
        <v>74</v>
      </c>
      <c r="H277" t="s">
        <v>74</v>
      </c>
      <c r="I277" t="s">
        <v>4486</v>
      </c>
      <c r="J277" t="s">
        <v>4487</v>
      </c>
      <c r="K277" t="s">
        <v>74</v>
      </c>
      <c r="L277" t="s">
        <v>74</v>
      </c>
      <c r="M277" t="s">
        <v>77</v>
      </c>
      <c r="N277" t="s">
        <v>78</v>
      </c>
      <c r="O277" t="s">
        <v>74</v>
      </c>
      <c r="P277" t="s">
        <v>74</v>
      </c>
      <c r="Q277" t="s">
        <v>74</v>
      </c>
      <c r="R277" t="s">
        <v>74</v>
      </c>
      <c r="S277" t="s">
        <v>74</v>
      </c>
      <c r="T277" t="s">
        <v>4488</v>
      </c>
      <c r="U277" t="s">
        <v>4489</v>
      </c>
      <c r="V277" t="s">
        <v>4490</v>
      </c>
      <c r="W277" t="s">
        <v>4491</v>
      </c>
      <c r="X277" t="s">
        <v>4492</v>
      </c>
      <c r="Y277" t="s">
        <v>4493</v>
      </c>
      <c r="Z277" t="s">
        <v>4494</v>
      </c>
      <c r="AA277" t="s">
        <v>74</v>
      </c>
      <c r="AB277" t="s">
        <v>74</v>
      </c>
      <c r="AC277" t="s">
        <v>74</v>
      </c>
      <c r="AD277" t="s">
        <v>74</v>
      </c>
      <c r="AE277" t="s">
        <v>74</v>
      </c>
      <c r="AF277" t="s">
        <v>74</v>
      </c>
      <c r="AG277">
        <v>26</v>
      </c>
      <c r="AH277">
        <v>28</v>
      </c>
      <c r="AI277">
        <v>32</v>
      </c>
      <c r="AJ277">
        <v>1</v>
      </c>
      <c r="AK277">
        <v>9</v>
      </c>
      <c r="AL277" t="s">
        <v>2898</v>
      </c>
      <c r="AM277" t="s">
        <v>2899</v>
      </c>
      <c r="AN277" t="s">
        <v>4495</v>
      </c>
      <c r="AO277" t="s">
        <v>4496</v>
      </c>
      <c r="AP277" t="s">
        <v>4497</v>
      </c>
      <c r="AQ277" t="s">
        <v>74</v>
      </c>
      <c r="AR277" t="s">
        <v>4487</v>
      </c>
      <c r="AS277" t="s">
        <v>4498</v>
      </c>
      <c r="AT277" t="s">
        <v>4357</v>
      </c>
      <c r="AU277">
        <v>2005</v>
      </c>
      <c r="AV277">
        <v>9</v>
      </c>
      <c r="AW277">
        <v>2</v>
      </c>
      <c r="AX277" t="s">
        <v>74</v>
      </c>
      <c r="AY277" t="s">
        <v>74</v>
      </c>
      <c r="AZ277" t="s">
        <v>74</v>
      </c>
      <c r="BA277" t="s">
        <v>74</v>
      </c>
      <c r="BB277">
        <v>93</v>
      </c>
      <c r="BC277">
        <v>98</v>
      </c>
      <c r="BD277" t="s">
        <v>74</v>
      </c>
      <c r="BE277" t="s">
        <v>4499</v>
      </c>
      <c r="BF277" t="str">
        <f>HYPERLINK("http://dx.doi.org/10.1007/s00792-004-0424-1","http://dx.doi.org/10.1007/s00792-004-0424-1")</f>
        <v>http://dx.doi.org/10.1007/s00792-004-0424-1</v>
      </c>
      <c r="BG277" t="s">
        <v>74</v>
      </c>
      <c r="BH277" t="s">
        <v>74</v>
      </c>
      <c r="BI277">
        <v>6</v>
      </c>
      <c r="BJ277" t="s">
        <v>4500</v>
      </c>
      <c r="BK277" t="s">
        <v>95</v>
      </c>
      <c r="BL277" t="s">
        <v>4500</v>
      </c>
      <c r="BM277" t="s">
        <v>4501</v>
      </c>
      <c r="BN277">
        <v>15490283</v>
      </c>
      <c r="BO277" t="s">
        <v>74</v>
      </c>
      <c r="BP277" t="s">
        <v>74</v>
      </c>
      <c r="BQ277" t="s">
        <v>74</v>
      </c>
      <c r="BR277" t="s">
        <v>97</v>
      </c>
      <c r="BS277" t="s">
        <v>4502</v>
      </c>
      <c r="BT277" t="str">
        <f>HYPERLINK("https%3A%2F%2Fwww.webofscience.com%2Fwos%2Fwoscc%2Ffull-record%2FWOS:000228638400001","View Full Record in Web of Science")</f>
        <v>View Full Record in Web of Science</v>
      </c>
    </row>
    <row r="278" spans="1:72" x14ac:dyDescent="0.15">
      <c r="A278" t="s">
        <v>72</v>
      </c>
      <c r="B278" t="s">
        <v>4503</v>
      </c>
      <c r="C278" t="s">
        <v>74</v>
      </c>
      <c r="D278" t="s">
        <v>74</v>
      </c>
      <c r="E278" t="s">
        <v>74</v>
      </c>
      <c r="F278" t="s">
        <v>4503</v>
      </c>
      <c r="G278" t="s">
        <v>74</v>
      </c>
      <c r="H278" t="s">
        <v>74</v>
      </c>
      <c r="I278" t="s">
        <v>4504</v>
      </c>
      <c r="J278" t="s">
        <v>4487</v>
      </c>
      <c r="K278" t="s">
        <v>74</v>
      </c>
      <c r="L278" t="s">
        <v>74</v>
      </c>
      <c r="M278" t="s">
        <v>77</v>
      </c>
      <c r="N278" t="s">
        <v>78</v>
      </c>
      <c r="O278" t="s">
        <v>74</v>
      </c>
      <c r="P278" t="s">
        <v>74</v>
      </c>
      <c r="Q278" t="s">
        <v>74</v>
      </c>
      <c r="R278" t="s">
        <v>74</v>
      </c>
      <c r="S278" t="s">
        <v>74</v>
      </c>
      <c r="T278" t="s">
        <v>4505</v>
      </c>
      <c r="U278" t="s">
        <v>4506</v>
      </c>
      <c r="V278" t="s">
        <v>4507</v>
      </c>
      <c r="W278" t="s">
        <v>4508</v>
      </c>
      <c r="X278" t="s">
        <v>4509</v>
      </c>
      <c r="Y278" t="s">
        <v>4510</v>
      </c>
      <c r="Z278" t="s">
        <v>4511</v>
      </c>
      <c r="AA278" t="s">
        <v>74</v>
      </c>
      <c r="AB278" t="s">
        <v>74</v>
      </c>
      <c r="AC278" t="s">
        <v>74</v>
      </c>
      <c r="AD278" t="s">
        <v>74</v>
      </c>
      <c r="AE278" t="s">
        <v>74</v>
      </c>
      <c r="AF278" t="s">
        <v>74</v>
      </c>
      <c r="AG278">
        <v>28</v>
      </c>
      <c r="AH278">
        <v>28</v>
      </c>
      <c r="AI278">
        <v>30</v>
      </c>
      <c r="AJ278">
        <v>0</v>
      </c>
      <c r="AK278">
        <v>6</v>
      </c>
      <c r="AL278" t="s">
        <v>2898</v>
      </c>
      <c r="AM278" t="s">
        <v>2899</v>
      </c>
      <c r="AN278" t="s">
        <v>4495</v>
      </c>
      <c r="AO278" t="s">
        <v>4496</v>
      </c>
      <c r="AP278" t="s">
        <v>4497</v>
      </c>
      <c r="AQ278" t="s">
        <v>74</v>
      </c>
      <c r="AR278" t="s">
        <v>4487</v>
      </c>
      <c r="AS278" t="s">
        <v>4498</v>
      </c>
      <c r="AT278" t="s">
        <v>4357</v>
      </c>
      <c r="AU278">
        <v>2005</v>
      </c>
      <c r="AV278">
        <v>9</v>
      </c>
      <c r="AW278">
        <v>2</v>
      </c>
      <c r="AX278" t="s">
        <v>74</v>
      </c>
      <c r="AY278" t="s">
        <v>74</v>
      </c>
      <c r="AZ278" t="s">
        <v>74</v>
      </c>
      <c r="BA278" t="s">
        <v>74</v>
      </c>
      <c r="BB278">
        <v>145</v>
      </c>
      <c r="BC278">
        <v>150</v>
      </c>
      <c r="BD278" t="s">
        <v>74</v>
      </c>
      <c r="BE278" t="s">
        <v>4512</v>
      </c>
      <c r="BF278" t="str">
        <f>HYPERLINK("http://dx.doi.org/10.1007/s00792-004-0429-9","http://dx.doi.org/10.1007/s00792-004-0429-9")</f>
        <v>http://dx.doi.org/10.1007/s00792-004-0429-9</v>
      </c>
      <c r="BG278" t="s">
        <v>74</v>
      </c>
      <c r="BH278" t="s">
        <v>74</v>
      </c>
      <c r="BI278">
        <v>6</v>
      </c>
      <c r="BJ278" t="s">
        <v>4500</v>
      </c>
      <c r="BK278" t="s">
        <v>95</v>
      </c>
      <c r="BL278" t="s">
        <v>4500</v>
      </c>
      <c r="BM278" t="s">
        <v>4501</v>
      </c>
      <c r="BN278">
        <v>15599780</v>
      </c>
      <c r="BO278" t="s">
        <v>74</v>
      </c>
      <c r="BP278" t="s">
        <v>74</v>
      </c>
      <c r="BQ278" t="s">
        <v>74</v>
      </c>
      <c r="BR278" t="s">
        <v>97</v>
      </c>
      <c r="BS278" t="s">
        <v>4513</v>
      </c>
      <c r="BT278" t="str">
        <f>HYPERLINK("https%3A%2F%2Fwww.webofscience.com%2Fwos%2Fwoscc%2Ffull-record%2FWOS:000228638400007","View Full Record in Web of Science")</f>
        <v>View Full Record in Web of Science</v>
      </c>
    </row>
    <row r="279" spans="1:72" x14ac:dyDescent="0.15">
      <c r="A279" t="s">
        <v>72</v>
      </c>
      <c r="B279" t="s">
        <v>4514</v>
      </c>
      <c r="C279" t="s">
        <v>74</v>
      </c>
      <c r="D279" t="s">
        <v>74</v>
      </c>
      <c r="E279" t="s">
        <v>74</v>
      </c>
      <c r="F279" t="s">
        <v>4514</v>
      </c>
      <c r="G279" t="s">
        <v>74</v>
      </c>
      <c r="H279" t="s">
        <v>74</v>
      </c>
      <c r="I279" t="s">
        <v>4515</v>
      </c>
      <c r="J279" t="s">
        <v>4516</v>
      </c>
      <c r="K279" t="s">
        <v>74</v>
      </c>
      <c r="L279" t="s">
        <v>74</v>
      </c>
      <c r="M279" t="s">
        <v>77</v>
      </c>
      <c r="N279" t="s">
        <v>78</v>
      </c>
      <c r="O279" t="s">
        <v>74</v>
      </c>
      <c r="P279" t="s">
        <v>74</v>
      </c>
      <c r="Q279" t="s">
        <v>74</v>
      </c>
      <c r="R279" t="s">
        <v>74</v>
      </c>
      <c r="S279" t="s">
        <v>74</v>
      </c>
      <c r="T279" t="s">
        <v>4517</v>
      </c>
      <c r="U279" t="s">
        <v>4518</v>
      </c>
      <c r="V279" t="s">
        <v>4519</v>
      </c>
      <c r="W279" t="s">
        <v>4520</v>
      </c>
      <c r="X279" t="s">
        <v>4521</v>
      </c>
      <c r="Y279" t="s">
        <v>4522</v>
      </c>
      <c r="Z279" t="s">
        <v>4523</v>
      </c>
      <c r="AA279" t="s">
        <v>4524</v>
      </c>
      <c r="AB279" t="s">
        <v>74</v>
      </c>
      <c r="AC279" t="s">
        <v>74</v>
      </c>
      <c r="AD279" t="s">
        <v>74</v>
      </c>
      <c r="AE279" t="s">
        <v>74</v>
      </c>
      <c r="AF279" t="s">
        <v>74</v>
      </c>
      <c r="AG279">
        <v>35</v>
      </c>
      <c r="AH279">
        <v>123</v>
      </c>
      <c r="AI279">
        <v>154</v>
      </c>
      <c r="AJ279">
        <v>1</v>
      </c>
      <c r="AK279">
        <v>37</v>
      </c>
      <c r="AL279" t="s">
        <v>1580</v>
      </c>
      <c r="AM279" t="s">
        <v>256</v>
      </c>
      <c r="AN279" t="s">
        <v>1581</v>
      </c>
      <c r="AO279" t="s">
        <v>4525</v>
      </c>
      <c r="AP279" t="s">
        <v>4526</v>
      </c>
      <c r="AQ279" t="s">
        <v>74</v>
      </c>
      <c r="AR279" t="s">
        <v>4527</v>
      </c>
      <c r="AS279" t="s">
        <v>4528</v>
      </c>
      <c r="AT279" t="s">
        <v>4529</v>
      </c>
      <c r="AU279">
        <v>2005</v>
      </c>
      <c r="AV279">
        <v>245</v>
      </c>
      <c r="AW279">
        <v>1</v>
      </c>
      <c r="AX279" t="s">
        <v>74</v>
      </c>
      <c r="AY279" t="s">
        <v>74</v>
      </c>
      <c r="AZ279" t="s">
        <v>74</v>
      </c>
      <c r="BA279" t="s">
        <v>74</v>
      </c>
      <c r="BB279">
        <v>67</v>
      </c>
      <c r="BC279">
        <v>72</v>
      </c>
      <c r="BD279" t="s">
        <v>74</v>
      </c>
      <c r="BE279" t="s">
        <v>4530</v>
      </c>
      <c r="BF279" t="str">
        <f>HYPERLINK("http://dx.doi.org/10.1016/j.femsle.2005.02.022","http://dx.doi.org/10.1016/j.femsle.2005.02.022")</f>
        <v>http://dx.doi.org/10.1016/j.femsle.2005.02.022</v>
      </c>
      <c r="BG279" t="s">
        <v>74</v>
      </c>
      <c r="BH279" t="s">
        <v>74</v>
      </c>
      <c r="BI279">
        <v>6</v>
      </c>
      <c r="BJ279" t="s">
        <v>1507</v>
      </c>
      <c r="BK279" t="s">
        <v>95</v>
      </c>
      <c r="BL279" t="s">
        <v>1507</v>
      </c>
      <c r="BM279" t="s">
        <v>4531</v>
      </c>
      <c r="BN279">
        <v>15796981</v>
      </c>
      <c r="BO279" t="s">
        <v>539</v>
      </c>
      <c r="BP279" t="s">
        <v>74</v>
      </c>
      <c r="BQ279" t="s">
        <v>74</v>
      </c>
      <c r="BR279" t="s">
        <v>97</v>
      </c>
      <c r="BS279" t="s">
        <v>4532</v>
      </c>
      <c r="BT279" t="str">
        <f>HYPERLINK("https%3A%2F%2Fwww.webofscience.com%2Fwos%2Fwoscc%2Ffull-record%2FWOS:000228276800010","View Full Record in Web of Science")</f>
        <v>View Full Record in Web of Science</v>
      </c>
    </row>
    <row r="280" spans="1:72" x14ac:dyDescent="0.15">
      <c r="A280" t="s">
        <v>72</v>
      </c>
      <c r="B280" t="s">
        <v>4533</v>
      </c>
      <c r="C280" t="s">
        <v>74</v>
      </c>
      <c r="D280" t="s">
        <v>74</v>
      </c>
      <c r="E280" t="s">
        <v>74</v>
      </c>
      <c r="F280" t="s">
        <v>4533</v>
      </c>
      <c r="G280" t="s">
        <v>74</v>
      </c>
      <c r="H280" t="s">
        <v>74</v>
      </c>
      <c r="I280" t="s">
        <v>4534</v>
      </c>
      <c r="J280" t="s">
        <v>4535</v>
      </c>
      <c r="K280" t="s">
        <v>74</v>
      </c>
      <c r="L280" t="s">
        <v>74</v>
      </c>
      <c r="M280" t="s">
        <v>77</v>
      </c>
      <c r="N280" t="s">
        <v>78</v>
      </c>
      <c r="O280" t="s">
        <v>74</v>
      </c>
      <c r="P280" t="s">
        <v>74</v>
      </c>
      <c r="Q280" t="s">
        <v>74</v>
      </c>
      <c r="R280" t="s">
        <v>74</v>
      </c>
      <c r="S280" t="s">
        <v>74</v>
      </c>
      <c r="T280" t="s">
        <v>74</v>
      </c>
      <c r="U280" t="s">
        <v>4536</v>
      </c>
      <c r="V280" t="s">
        <v>4537</v>
      </c>
      <c r="W280" t="s">
        <v>4538</v>
      </c>
      <c r="X280" t="s">
        <v>4539</v>
      </c>
      <c r="Y280" t="s">
        <v>4540</v>
      </c>
      <c r="Z280" t="s">
        <v>4541</v>
      </c>
      <c r="AA280" t="s">
        <v>74</v>
      </c>
      <c r="AB280" t="s">
        <v>74</v>
      </c>
      <c r="AC280" t="s">
        <v>74</v>
      </c>
      <c r="AD280" t="s">
        <v>74</v>
      </c>
      <c r="AE280" t="s">
        <v>74</v>
      </c>
      <c r="AF280" t="s">
        <v>74</v>
      </c>
      <c r="AG280">
        <v>76</v>
      </c>
      <c r="AH280">
        <v>21</v>
      </c>
      <c r="AI280">
        <v>26</v>
      </c>
      <c r="AJ280">
        <v>0</v>
      </c>
      <c r="AK280">
        <v>6</v>
      </c>
      <c r="AL280" t="s">
        <v>4542</v>
      </c>
      <c r="AM280" t="s">
        <v>4543</v>
      </c>
      <c r="AN280" t="s">
        <v>4544</v>
      </c>
      <c r="AO280" t="s">
        <v>4545</v>
      </c>
      <c r="AP280" t="s">
        <v>4546</v>
      </c>
      <c r="AQ280" t="s">
        <v>74</v>
      </c>
      <c r="AR280" t="s">
        <v>4547</v>
      </c>
      <c r="AS280" t="s">
        <v>4548</v>
      </c>
      <c r="AT280" t="s">
        <v>4357</v>
      </c>
      <c r="AU280">
        <v>2005</v>
      </c>
      <c r="AV280">
        <v>103</v>
      </c>
      <c r="AW280">
        <v>2</v>
      </c>
      <c r="AX280" t="s">
        <v>74</v>
      </c>
      <c r="AY280" t="s">
        <v>74</v>
      </c>
      <c r="AZ280" t="s">
        <v>74</v>
      </c>
      <c r="BA280" t="s">
        <v>74</v>
      </c>
      <c r="BB280">
        <v>246</v>
      </c>
      <c r="BC280">
        <v>257</v>
      </c>
      <c r="BD280" t="s">
        <v>74</v>
      </c>
      <c r="BE280" t="s">
        <v>74</v>
      </c>
      <c r="BF280" t="s">
        <v>74</v>
      </c>
      <c r="BG280" t="s">
        <v>74</v>
      </c>
      <c r="BH280" t="s">
        <v>74</v>
      </c>
      <c r="BI280">
        <v>12</v>
      </c>
      <c r="BJ280" t="s">
        <v>1616</v>
      </c>
      <c r="BK280" t="s">
        <v>95</v>
      </c>
      <c r="BL280" t="s">
        <v>1616</v>
      </c>
      <c r="BM280" t="s">
        <v>4549</v>
      </c>
      <c r="BN280" t="s">
        <v>74</v>
      </c>
      <c r="BO280" t="s">
        <v>74</v>
      </c>
      <c r="BP280" t="s">
        <v>74</v>
      </c>
      <c r="BQ280" t="s">
        <v>74</v>
      </c>
      <c r="BR280" t="s">
        <v>97</v>
      </c>
      <c r="BS280" t="s">
        <v>4550</v>
      </c>
      <c r="BT280" t="str">
        <f>HYPERLINK("https%3A%2F%2Fwww.webofscience.com%2Fwos%2Fwoscc%2Ffull-record%2FWOS:000229166800002","View Full Record in Web of Science")</f>
        <v>View Full Record in Web of Science</v>
      </c>
    </row>
    <row r="281" spans="1:72" x14ac:dyDescent="0.15">
      <c r="A281" t="s">
        <v>72</v>
      </c>
      <c r="B281" t="s">
        <v>4551</v>
      </c>
      <c r="C281" t="s">
        <v>74</v>
      </c>
      <c r="D281" t="s">
        <v>74</v>
      </c>
      <c r="E281" t="s">
        <v>74</v>
      </c>
      <c r="F281" t="s">
        <v>4551</v>
      </c>
      <c r="G281" t="s">
        <v>74</v>
      </c>
      <c r="H281" t="s">
        <v>74</v>
      </c>
      <c r="I281" t="s">
        <v>4552</v>
      </c>
      <c r="J281" t="s">
        <v>2569</v>
      </c>
      <c r="K281" t="s">
        <v>74</v>
      </c>
      <c r="L281" t="s">
        <v>74</v>
      </c>
      <c r="M281" t="s">
        <v>77</v>
      </c>
      <c r="N281" t="s">
        <v>78</v>
      </c>
      <c r="O281" t="s">
        <v>74</v>
      </c>
      <c r="P281" t="s">
        <v>74</v>
      </c>
      <c r="Q281" t="s">
        <v>74</v>
      </c>
      <c r="R281" t="s">
        <v>74</v>
      </c>
      <c r="S281" t="s">
        <v>74</v>
      </c>
      <c r="T281" t="s">
        <v>74</v>
      </c>
      <c r="U281" t="s">
        <v>4553</v>
      </c>
      <c r="V281" t="s">
        <v>4554</v>
      </c>
      <c r="W281" t="s">
        <v>4555</v>
      </c>
      <c r="X281" t="s">
        <v>4556</v>
      </c>
      <c r="Y281" t="s">
        <v>4557</v>
      </c>
      <c r="Z281" t="s">
        <v>4558</v>
      </c>
      <c r="AA281" t="s">
        <v>4559</v>
      </c>
      <c r="AB281" t="s">
        <v>4560</v>
      </c>
      <c r="AC281" t="s">
        <v>74</v>
      </c>
      <c r="AD281" t="s">
        <v>74</v>
      </c>
      <c r="AE281" t="s">
        <v>74</v>
      </c>
      <c r="AF281" t="s">
        <v>74</v>
      </c>
      <c r="AG281">
        <v>36</v>
      </c>
      <c r="AH281">
        <v>14</v>
      </c>
      <c r="AI281">
        <v>14</v>
      </c>
      <c r="AJ281">
        <v>0</v>
      </c>
      <c r="AK281">
        <v>5</v>
      </c>
      <c r="AL281" t="s">
        <v>255</v>
      </c>
      <c r="AM281" t="s">
        <v>256</v>
      </c>
      <c r="AN281" t="s">
        <v>257</v>
      </c>
      <c r="AO281" t="s">
        <v>2578</v>
      </c>
      <c r="AP281" t="s">
        <v>3316</v>
      </c>
      <c r="AQ281" t="s">
        <v>74</v>
      </c>
      <c r="AR281" t="s">
        <v>2579</v>
      </c>
      <c r="AS281" t="s">
        <v>2580</v>
      </c>
      <c r="AT281" t="s">
        <v>4529</v>
      </c>
      <c r="AU281">
        <v>2005</v>
      </c>
      <c r="AV281">
        <v>69</v>
      </c>
      <c r="AW281">
        <v>7</v>
      </c>
      <c r="AX281" t="s">
        <v>74</v>
      </c>
      <c r="AY281" t="s">
        <v>74</v>
      </c>
      <c r="AZ281" t="s">
        <v>74</v>
      </c>
      <c r="BA281" t="s">
        <v>74</v>
      </c>
      <c r="BB281">
        <v>1883</v>
      </c>
      <c r="BC281">
        <v>1898</v>
      </c>
      <c r="BD281" t="s">
        <v>74</v>
      </c>
      <c r="BE281" t="s">
        <v>4561</v>
      </c>
      <c r="BF281" t="str">
        <f>HYPERLINK("http://dx.doi.org/10.1016/j.gca.2004.08.022","http://dx.doi.org/10.1016/j.gca.2004.08.022")</f>
        <v>http://dx.doi.org/10.1016/j.gca.2004.08.022</v>
      </c>
      <c r="BG281" t="s">
        <v>74</v>
      </c>
      <c r="BH281" t="s">
        <v>74</v>
      </c>
      <c r="BI281">
        <v>16</v>
      </c>
      <c r="BJ281" t="s">
        <v>381</v>
      </c>
      <c r="BK281" t="s">
        <v>95</v>
      </c>
      <c r="BL281" t="s">
        <v>381</v>
      </c>
      <c r="BM281" t="s">
        <v>4562</v>
      </c>
      <c r="BN281" t="s">
        <v>74</v>
      </c>
      <c r="BO281" t="s">
        <v>74</v>
      </c>
      <c r="BP281" t="s">
        <v>74</v>
      </c>
      <c r="BQ281" t="s">
        <v>74</v>
      </c>
      <c r="BR281" t="s">
        <v>97</v>
      </c>
      <c r="BS281" t="s">
        <v>4563</v>
      </c>
      <c r="BT281" t="str">
        <f>HYPERLINK("https%3A%2F%2Fwww.webofscience.com%2Fwos%2Fwoscc%2Ffull-record%2FWOS:000228367200018","View Full Record in Web of Science")</f>
        <v>View Full Record in Web of Science</v>
      </c>
    </row>
    <row r="282" spans="1:72" x14ac:dyDescent="0.15">
      <c r="A282" t="s">
        <v>72</v>
      </c>
      <c r="B282" t="s">
        <v>4564</v>
      </c>
      <c r="C282" t="s">
        <v>74</v>
      </c>
      <c r="D282" t="s">
        <v>74</v>
      </c>
      <c r="E282" t="s">
        <v>74</v>
      </c>
      <c r="F282" t="s">
        <v>4564</v>
      </c>
      <c r="G282" t="s">
        <v>74</v>
      </c>
      <c r="H282" t="s">
        <v>74</v>
      </c>
      <c r="I282" t="s">
        <v>4565</v>
      </c>
      <c r="J282" t="s">
        <v>1621</v>
      </c>
      <c r="K282" t="s">
        <v>74</v>
      </c>
      <c r="L282" t="s">
        <v>74</v>
      </c>
      <c r="M282" t="s">
        <v>77</v>
      </c>
      <c r="N282" t="s">
        <v>78</v>
      </c>
      <c r="O282" t="s">
        <v>74</v>
      </c>
      <c r="P282" t="s">
        <v>74</v>
      </c>
      <c r="Q282" t="s">
        <v>74</v>
      </c>
      <c r="R282" t="s">
        <v>74</v>
      </c>
      <c r="S282" t="s">
        <v>74</v>
      </c>
      <c r="T282" t="s">
        <v>4566</v>
      </c>
      <c r="U282" t="s">
        <v>4567</v>
      </c>
      <c r="V282" t="s">
        <v>4568</v>
      </c>
      <c r="W282" t="s">
        <v>4569</v>
      </c>
      <c r="X282" t="s">
        <v>4570</v>
      </c>
      <c r="Y282" t="s">
        <v>4571</v>
      </c>
      <c r="Z282" t="s">
        <v>74</v>
      </c>
      <c r="AA282" t="s">
        <v>273</v>
      </c>
      <c r="AB282" t="s">
        <v>4572</v>
      </c>
      <c r="AC282" t="s">
        <v>74</v>
      </c>
      <c r="AD282" t="s">
        <v>74</v>
      </c>
      <c r="AE282" t="s">
        <v>74</v>
      </c>
      <c r="AF282" t="s">
        <v>74</v>
      </c>
      <c r="AG282">
        <v>20</v>
      </c>
      <c r="AH282">
        <v>49</v>
      </c>
      <c r="AI282">
        <v>63</v>
      </c>
      <c r="AJ282">
        <v>1</v>
      </c>
      <c r="AK282">
        <v>11</v>
      </c>
      <c r="AL282" t="s">
        <v>4573</v>
      </c>
      <c r="AM282" t="s">
        <v>1630</v>
      </c>
      <c r="AN282" t="s">
        <v>1631</v>
      </c>
      <c r="AO282" t="s">
        <v>1632</v>
      </c>
      <c r="AP282" t="s">
        <v>74</v>
      </c>
      <c r="AQ282" t="s">
        <v>74</v>
      </c>
      <c r="AR282" t="s">
        <v>1621</v>
      </c>
      <c r="AS282" t="s">
        <v>307</v>
      </c>
      <c r="AT282" t="s">
        <v>4357</v>
      </c>
      <c r="AU282">
        <v>2005</v>
      </c>
      <c r="AV282">
        <v>33</v>
      </c>
      <c r="AW282">
        <v>4</v>
      </c>
      <c r="AX282" t="s">
        <v>74</v>
      </c>
      <c r="AY282" t="s">
        <v>74</v>
      </c>
      <c r="AZ282" t="s">
        <v>74</v>
      </c>
      <c r="BA282" t="s">
        <v>74</v>
      </c>
      <c r="BB282">
        <v>281</v>
      </c>
      <c r="BC282">
        <v>284</v>
      </c>
      <c r="BD282" t="s">
        <v>74</v>
      </c>
      <c r="BE282" t="s">
        <v>4574</v>
      </c>
      <c r="BF282" t="str">
        <f>HYPERLINK("http://dx.doi.org/10.1130/G21165.1","http://dx.doi.org/10.1130/G21165.1")</f>
        <v>http://dx.doi.org/10.1130/G21165.1</v>
      </c>
      <c r="BG282" t="s">
        <v>74</v>
      </c>
      <c r="BH282" t="s">
        <v>74</v>
      </c>
      <c r="BI282">
        <v>4</v>
      </c>
      <c r="BJ282" t="s">
        <v>307</v>
      </c>
      <c r="BK282" t="s">
        <v>95</v>
      </c>
      <c r="BL282" t="s">
        <v>307</v>
      </c>
      <c r="BM282" t="s">
        <v>4575</v>
      </c>
      <c r="BN282" t="s">
        <v>74</v>
      </c>
      <c r="BO282" t="s">
        <v>74</v>
      </c>
      <c r="BP282" t="s">
        <v>74</v>
      </c>
      <c r="BQ282" t="s">
        <v>74</v>
      </c>
      <c r="BR282" t="s">
        <v>97</v>
      </c>
      <c r="BS282" t="s">
        <v>4576</v>
      </c>
      <c r="BT282" t="str">
        <f>HYPERLINK("https%3A%2F%2Fwww.webofscience.com%2Fwos%2Fwoscc%2Ffull-record%2FWOS:000228127100011","View Full Record in Web of Science")</f>
        <v>View Full Record in Web of Science</v>
      </c>
    </row>
    <row r="283" spans="1:72" x14ac:dyDescent="0.15">
      <c r="A283" t="s">
        <v>72</v>
      </c>
      <c r="B283" t="s">
        <v>4577</v>
      </c>
      <c r="C283" t="s">
        <v>74</v>
      </c>
      <c r="D283" t="s">
        <v>74</v>
      </c>
      <c r="E283" t="s">
        <v>74</v>
      </c>
      <c r="F283" t="s">
        <v>4577</v>
      </c>
      <c r="G283" t="s">
        <v>74</v>
      </c>
      <c r="H283" t="s">
        <v>74</v>
      </c>
      <c r="I283" t="s">
        <v>4578</v>
      </c>
      <c r="J283" t="s">
        <v>3353</v>
      </c>
      <c r="K283" t="s">
        <v>74</v>
      </c>
      <c r="L283" t="s">
        <v>74</v>
      </c>
      <c r="M283" t="s">
        <v>77</v>
      </c>
      <c r="N283" t="s">
        <v>78</v>
      </c>
      <c r="O283" t="s">
        <v>74</v>
      </c>
      <c r="P283" t="s">
        <v>74</v>
      </c>
      <c r="Q283" t="s">
        <v>74</v>
      </c>
      <c r="R283" t="s">
        <v>74</v>
      </c>
      <c r="S283" t="s">
        <v>74</v>
      </c>
      <c r="T283" t="s">
        <v>4579</v>
      </c>
      <c r="U283" t="s">
        <v>4580</v>
      </c>
      <c r="V283" t="s">
        <v>4581</v>
      </c>
      <c r="W283" t="s">
        <v>4582</v>
      </c>
      <c r="X283" t="s">
        <v>4583</v>
      </c>
      <c r="Y283" t="s">
        <v>4584</v>
      </c>
      <c r="Z283" t="s">
        <v>4585</v>
      </c>
      <c r="AA283" t="s">
        <v>4586</v>
      </c>
      <c r="AB283" t="s">
        <v>4587</v>
      </c>
      <c r="AC283" t="s">
        <v>74</v>
      </c>
      <c r="AD283" t="s">
        <v>74</v>
      </c>
      <c r="AE283" t="s">
        <v>74</v>
      </c>
      <c r="AF283" t="s">
        <v>74</v>
      </c>
      <c r="AG283">
        <v>42</v>
      </c>
      <c r="AH283">
        <v>10</v>
      </c>
      <c r="AI283">
        <v>13</v>
      </c>
      <c r="AJ283">
        <v>1</v>
      </c>
      <c r="AK283">
        <v>4</v>
      </c>
      <c r="AL283" t="s">
        <v>1580</v>
      </c>
      <c r="AM283" t="s">
        <v>256</v>
      </c>
      <c r="AN283" t="s">
        <v>1581</v>
      </c>
      <c r="AO283" t="s">
        <v>3361</v>
      </c>
      <c r="AP283" t="s">
        <v>3362</v>
      </c>
      <c r="AQ283" t="s">
        <v>74</v>
      </c>
      <c r="AR283" t="s">
        <v>3363</v>
      </c>
      <c r="AS283" t="s">
        <v>3364</v>
      </c>
      <c r="AT283" t="s">
        <v>4357</v>
      </c>
      <c r="AU283">
        <v>2005</v>
      </c>
      <c r="AV283">
        <v>161</v>
      </c>
      <c r="AW283">
        <v>1</v>
      </c>
      <c r="AX283" t="s">
        <v>74</v>
      </c>
      <c r="AY283" t="s">
        <v>74</v>
      </c>
      <c r="AZ283" t="s">
        <v>74</v>
      </c>
      <c r="BA283" t="s">
        <v>74</v>
      </c>
      <c r="BB283">
        <v>41</v>
      </c>
      <c r="BC283">
        <v>49</v>
      </c>
      <c r="BD283" t="s">
        <v>74</v>
      </c>
      <c r="BE283" t="s">
        <v>4588</v>
      </c>
      <c r="BF283" t="str">
        <f>HYPERLINK("http://dx.doi.org/10.1111/j.1365-246X.2005.02575.x","http://dx.doi.org/10.1111/j.1365-246X.2005.02575.x")</f>
        <v>http://dx.doi.org/10.1111/j.1365-246X.2005.02575.x</v>
      </c>
      <c r="BG283" t="s">
        <v>74</v>
      </c>
      <c r="BH283" t="s">
        <v>74</v>
      </c>
      <c r="BI283">
        <v>9</v>
      </c>
      <c r="BJ283" t="s">
        <v>381</v>
      </c>
      <c r="BK283" t="s">
        <v>95</v>
      </c>
      <c r="BL283" t="s">
        <v>381</v>
      </c>
      <c r="BM283" t="s">
        <v>4589</v>
      </c>
      <c r="BN283" t="s">
        <v>74</v>
      </c>
      <c r="BO283" t="s">
        <v>539</v>
      </c>
      <c r="BP283" t="s">
        <v>74</v>
      </c>
      <c r="BQ283" t="s">
        <v>74</v>
      </c>
      <c r="BR283" t="s">
        <v>97</v>
      </c>
      <c r="BS283" t="s">
        <v>4590</v>
      </c>
      <c r="BT283" t="str">
        <f>HYPERLINK("https%3A%2F%2Fwww.webofscience.com%2Fwos%2Fwoscc%2Ffull-record%2FWOS:000228133800005","View Full Record in Web of Science")</f>
        <v>View Full Record in Web of Science</v>
      </c>
    </row>
    <row r="284" spans="1:72" x14ac:dyDescent="0.15">
      <c r="A284" t="s">
        <v>72</v>
      </c>
      <c r="B284" t="s">
        <v>4591</v>
      </c>
      <c r="C284" t="s">
        <v>74</v>
      </c>
      <c r="D284" t="s">
        <v>74</v>
      </c>
      <c r="E284" t="s">
        <v>74</v>
      </c>
      <c r="F284" t="s">
        <v>4591</v>
      </c>
      <c r="G284" t="s">
        <v>74</v>
      </c>
      <c r="H284" t="s">
        <v>74</v>
      </c>
      <c r="I284" t="s">
        <v>4592</v>
      </c>
      <c r="J284" t="s">
        <v>1639</v>
      </c>
      <c r="K284" t="s">
        <v>74</v>
      </c>
      <c r="L284" t="s">
        <v>74</v>
      </c>
      <c r="M284" t="s">
        <v>77</v>
      </c>
      <c r="N284" t="s">
        <v>495</v>
      </c>
      <c r="O284" t="s">
        <v>4593</v>
      </c>
      <c r="P284" t="s">
        <v>4594</v>
      </c>
      <c r="Q284" t="s">
        <v>4595</v>
      </c>
      <c r="R284" t="s">
        <v>74</v>
      </c>
      <c r="S284" t="s">
        <v>74</v>
      </c>
      <c r="T284" t="s">
        <v>4596</v>
      </c>
      <c r="U284" t="s">
        <v>4597</v>
      </c>
      <c r="V284" t="s">
        <v>4598</v>
      </c>
      <c r="W284" t="s">
        <v>4599</v>
      </c>
      <c r="X284" t="s">
        <v>4600</v>
      </c>
      <c r="Y284" t="s">
        <v>4601</v>
      </c>
      <c r="Z284" t="s">
        <v>4602</v>
      </c>
      <c r="AA284" t="s">
        <v>74</v>
      </c>
      <c r="AB284" t="s">
        <v>74</v>
      </c>
      <c r="AC284" t="s">
        <v>74</v>
      </c>
      <c r="AD284" t="s">
        <v>74</v>
      </c>
      <c r="AE284" t="s">
        <v>74</v>
      </c>
      <c r="AF284" t="s">
        <v>74</v>
      </c>
      <c r="AG284">
        <v>49</v>
      </c>
      <c r="AH284">
        <v>81</v>
      </c>
      <c r="AI284">
        <v>100</v>
      </c>
      <c r="AJ284">
        <v>6</v>
      </c>
      <c r="AK284">
        <v>68</v>
      </c>
      <c r="AL284" t="s">
        <v>1649</v>
      </c>
      <c r="AM284" t="s">
        <v>1650</v>
      </c>
      <c r="AN284" t="s">
        <v>1651</v>
      </c>
      <c r="AO284" t="s">
        <v>1652</v>
      </c>
      <c r="AP284" t="s">
        <v>1653</v>
      </c>
      <c r="AQ284" t="s">
        <v>74</v>
      </c>
      <c r="AR284" t="s">
        <v>1639</v>
      </c>
      <c r="AS284" t="s">
        <v>1654</v>
      </c>
      <c r="AT284" t="s">
        <v>4357</v>
      </c>
      <c r="AU284">
        <v>2005</v>
      </c>
      <c r="AV284">
        <v>174</v>
      </c>
      <c r="AW284">
        <v>2</v>
      </c>
      <c r="AX284" t="s">
        <v>74</v>
      </c>
      <c r="AY284" t="s">
        <v>74</v>
      </c>
      <c r="AZ284" t="s">
        <v>74</v>
      </c>
      <c r="BA284" t="s">
        <v>74</v>
      </c>
      <c r="BB284">
        <v>383</v>
      </c>
      <c r="BC284">
        <v>395</v>
      </c>
      <c r="BD284" t="s">
        <v>74</v>
      </c>
      <c r="BE284" t="s">
        <v>4603</v>
      </c>
      <c r="BF284" t="str">
        <f>HYPERLINK("http://dx.doi.org/10.1016/j.icarus.2004.08.026","http://dx.doi.org/10.1016/j.icarus.2004.08.026")</f>
        <v>http://dx.doi.org/10.1016/j.icarus.2004.08.026</v>
      </c>
      <c r="BG284" t="s">
        <v>74</v>
      </c>
      <c r="BH284" t="s">
        <v>74</v>
      </c>
      <c r="BI284">
        <v>13</v>
      </c>
      <c r="BJ284" t="s">
        <v>853</v>
      </c>
      <c r="BK284" t="s">
        <v>514</v>
      </c>
      <c r="BL284" t="s">
        <v>853</v>
      </c>
      <c r="BM284" t="s">
        <v>4604</v>
      </c>
      <c r="BN284" t="s">
        <v>74</v>
      </c>
      <c r="BO284" t="s">
        <v>74</v>
      </c>
      <c r="BP284" t="s">
        <v>74</v>
      </c>
      <c r="BQ284" t="s">
        <v>74</v>
      </c>
      <c r="BR284" t="s">
        <v>97</v>
      </c>
      <c r="BS284" t="s">
        <v>4605</v>
      </c>
      <c r="BT284" t="str">
        <f>HYPERLINK("https%3A%2F%2Fwww.webofscience.com%2Fwos%2Fwoscc%2Ffull-record%2FWOS:000228223100008","View Full Record in Web of Science")</f>
        <v>View Full Record in Web of Science</v>
      </c>
    </row>
    <row r="285" spans="1:72" x14ac:dyDescent="0.15">
      <c r="A285" t="s">
        <v>72</v>
      </c>
      <c r="B285" t="s">
        <v>4606</v>
      </c>
      <c r="C285" t="s">
        <v>74</v>
      </c>
      <c r="D285" t="s">
        <v>74</v>
      </c>
      <c r="E285" t="s">
        <v>74</v>
      </c>
      <c r="F285" t="s">
        <v>4606</v>
      </c>
      <c r="G285" t="s">
        <v>74</v>
      </c>
      <c r="H285" t="s">
        <v>74</v>
      </c>
      <c r="I285" t="s">
        <v>4607</v>
      </c>
      <c r="J285" t="s">
        <v>1639</v>
      </c>
      <c r="K285" t="s">
        <v>74</v>
      </c>
      <c r="L285" t="s">
        <v>74</v>
      </c>
      <c r="M285" t="s">
        <v>77</v>
      </c>
      <c r="N285" t="s">
        <v>495</v>
      </c>
      <c r="O285" t="s">
        <v>4593</v>
      </c>
      <c r="P285" t="s">
        <v>4594</v>
      </c>
      <c r="Q285" t="s">
        <v>4595</v>
      </c>
      <c r="R285" t="s">
        <v>74</v>
      </c>
      <c r="S285" t="s">
        <v>74</v>
      </c>
      <c r="T285" t="s">
        <v>4608</v>
      </c>
      <c r="U285" t="s">
        <v>4609</v>
      </c>
      <c r="V285" t="s">
        <v>4610</v>
      </c>
      <c r="W285" t="s">
        <v>4611</v>
      </c>
      <c r="X285" t="s">
        <v>4612</v>
      </c>
      <c r="Y285" t="s">
        <v>4613</v>
      </c>
      <c r="Z285" t="s">
        <v>4614</v>
      </c>
      <c r="AA285" t="s">
        <v>4615</v>
      </c>
      <c r="AB285" t="s">
        <v>4616</v>
      </c>
      <c r="AC285" t="s">
        <v>74</v>
      </c>
      <c r="AD285" t="s">
        <v>74</v>
      </c>
      <c r="AE285" t="s">
        <v>74</v>
      </c>
      <c r="AF285" t="s">
        <v>74</v>
      </c>
      <c r="AG285">
        <v>48</v>
      </c>
      <c r="AH285">
        <v>99</v>
      </c>
      <c r="AI285">
        <v>105</v>
      </c>
      <c r="AJ285">
        <v>1</v>
      </c>
      <c r="AK285">
        <v>43</v>
      </c>
      <c r="AL285" t="s">
        <v>1649</v>
      </c>
      <c r="AM285" t="s">
        <v>1650</v>
      </c>
      <c r="AN285" t="s">
        <v>1651</v>
      </c>
      <c r="AO285" t="s">
        <v>1652</v>
      </c>
      <c r="AP285" t="s">
        <v>1653</v>
      </c>
      <c r="AQ285" t="s">
        <v>74</v>
      </c>
      <c r="AR285" t="s">
        <v>1639</v>
      </c>
      <c r="AS285" t="s">
        <v>1654</v>
      </c>
      <c r="AT285" t="s">
        <v>4357</v>
      </c>
      <c r="AU285">
        <v>2005</v>
      </c>
      <c r="AV285">
        <v>174</v>
      </c>
      <c r="AW285">
        <v>2</v>
      </c>
      <c r="AX285" t="s">
        <v>74</v>
      </c>
      <c r="AY285" t="s">
        <v>74</v>
      </c>
      <c r="AZ285" t="s">
        <v>74</v>
      </c>
      <c r="BA285" t="s">
        <v>74</v>
      </c>
      <c r="BB285">
        <v>560</v>
      </c>
      <c r="BC285">
        <v>571</v>
      </c>
      <c r="BD285" t="s">
        <v>74</v>
      </c>
      <c r="BE285" t="s">
        <v>4617</v>
      </c>
      <c r="BF285" t="str">
        <f>HYPERLINK("http://dx.doi.org/10.1016/j.icarus.2004.07.029","http://dx.doi.org/10.1016/j.icarus.2004.07.029")</f>
        <v>http://dx.doi.org/10.1016/j.icarus.2004.07.029</v>
      </c>
      <c r="BG285" t="s">
        <v>74</v>
      </c>
      <c r="BH285" t="s">
        <v>74</v>
      </c>
      <c r="BI285">
        <v>12</v>
      </c>
      <c r="BJ285" t="s">
        <v>853</v>
      </c>
      <c r="BK285" t="s">
        <v>514</v>
      </c>
      <c r="BL285" t="s">
        <v>853</v>
      </c>
      <c r="BM285" t="s">
        <v>4604</v>
      </c>
      <c r="BN285" t="s">
        <v>74</v>
      </c>
      <c r="BO285" t="s">
        <v>74</v>
      </c>
      <c r="BP285" t="s">
        <v>74</v>
      </c>
      <c r="BQ285" t="s">
        <v>74</v>
      </c>
      <c r="BR285" t="s">
        <v>97</v>
      </c>
      <c r="BS285" t="s">
        <v>4618</v>
      </c>
      <c r="BT285" t="str">
        <f>HYPERLINK("https%3A%2F%2Fwww.webofscience.com%2Fwos%2Fwoscc%2Ffull-record%2FWOS:000228223100019","View Full Record in Web of Science")</f>
        <v>View Full Record in Web of Science</v>
      </c>
    </row>
    <row r="286" spans="1:72" x14ac:dyDescent="0.15">
      <c r="A286" t="s">
        <v>72</v>
      </c>
      <c r="B286" t="s">
        <v>4619</v>
      </c>
      <c r="C286" t="s">
        <v>74</v>
      </c>
      <c r="D286" t="s">
        <v>74</v>
      </c>
      <c r="E286" t="s">
        <v>74</v>
      </c>
      <c r="F286" t="s">
        <v>4619</v>
      </c>
      <c r="G286" t="s">
        <v>74</v>
      </c>
      <c r="H286" t="s">
        <v>74</v>
      </c>
      <c r="I286" t="s">
        <v>4620</v>
      </c>
      <c r="J286" t="s">
        <v>1639</v>
      </c>
      <c r="K286" t="s">
        <v>74</v>
      </c>
      <c r="L286" t="s">
        <v>74</v>
      </c>
      <c r="M286" t="s">
        <v>77</v>
      </c>
      <c r="N286" t="s">
        <v>495</v>
      </c>
      <c r="O286" t="s">
        <v>4593</v>
      </c>
      <c r="P286" t="s">
        <v>4594</v>
      </c>
      <c r="Q286" t="s">
        <v>4595</v>
      </c>
      <c r="R286" t="s">
        <v>74</v>
      </c>
      <c r="S286" t="s">
        <v>74</v>
      </c>
      <c r="T286" t="s">
        <v>4621</v>
      </c>
      <c r="U286" t="s">
        <v>4622</v>
      </c>
      <c r="V286" t="s">
        <v>4623</v>
      </c>
      <c r="W286" t="s">
        <v>4624</v>
      </c>
      <c r="X286" t="s">
        <v>3015</v>
      </c>
      <c r="Y286" t="s">
        <v>4625</v>
      </c>
      <c r="Z286" t="s">
        <v>4626</v>
      </c>
      <c r="AA286" t="s">
        <v>74</v>
      </c>
      <c r="AB286" t="s">
        <v>4627</v>
      </c>
      <c r="AC286" t="s">
        <v>74</v>
      </c>
      <c r="AD286" t="s">
        <v>74</v>
      </c>
      <c r="AE286" t="s">
        <v>74</v>
      </c>
      <c r="AF286" t="s">
        <v>74</v>
      </c>
      <c r="AG286">
        <v>71</v>
      </c>
      <c r="AH286">
        <v>69</v>
      </c>
      <c r="AI286">
        <v>83</v>
      </c>
      <c r="AJ286">
        <v>0</v>
      </c>
      <c r="AK286">
        <v>26</v>
      </c>
      <c r="AL286" t="s">
        <v>1649</v>
      </c>
      <c r="AM286" t="s">
        <v>1650</v>
      </c>
      <c r="AN286" t="s">
        <v>1651</v>
      </c>
      <c r="AO286" t="s">
        <v>1652</v>
      </c>
      <c r="AP286" t="s">
        <v>1653</v>
      </c>
      <c r="AQ286" t="s">
        <v>74</v>
      </c>
      <c r="AR286" t="s">
        <v>1639</v>
      </c>
      <c r="AS286" t="s">
        <v>1654</v>
      </c>
      <c r="AT286" t="s">
        <v>4357</v>
      </c>
      <c r="AU286">
        <v>2005</v>
      </c>
      <c r="AV286">
        <v>174</v>
      </c>
      <c r="AW286">
        <v>2</v>
      </c>
      <c r="AX286" t="s">
        <v>74</v>
      </c>
      <c r="AY286" t="s">
        <v>74</v>
      </c>
      <c r="AZ286" t="s">
        <v>74</v>
      </c>
      <c r="BA286" t="s">
        <v>74</v>
      </c>
      <c r="BB286">
        <v>572</v>
      </c>
      <c r="BC286">
        <v>584</v>
      </c>
      <c r="BD286" t="s">
        <v>74</v>
      </c>
      <c r="BE286" t="s">
        <v>4628</v>
      </c>
      <c r="BF286" t="str">
        <f>HYPERLINK("http://dx.doi.org/10.1016/j.icarus.2004.10.027","http://dx.doi.org/10.1016/j.icarus.2004.10.027")</f>
        <v>http://dx.doi.org/10.1016/j.icarus.2004.10.027</v>
      </c>
      <c r="BG286" t="s">
        <v>74</v>
      </c>
      <c r="BH286" t="s">
        <v>74</v>
      </c>
      <c r="BI286">
        <v>13</v>
      </c>
      <c r="BJ286" t="s">
        <v>853</v>
      </c>
      <c r="BK286" t="s">
        <v>514</v>
      </c>
      <c r="BL286" t="s">
        <v>853</v>
      </c>
      <c r="BM286" t="s">
        <v>4604</v>
      </c>
      <c r="BN286" t="s">
        <v>74</v>
      </c>
      <c r="BO286" t="s">
        <v>750</v>
      </c>
      <c r="BP286" t="s">
        <v>74</v>
      </c>
      <c r="BQ286" t="s">
        <v>74</v>
      </c>
      <c r="BR286" t="s">
        <v>97</v>
      </c>
      <c r="BS286" t="s">
        <v>4629</v>
      </c>
      <c r="BT286" t="str">
        <f>HYPERLINK("https%3A%2F%2Fwww.webofscience.com%2Fwos%2Fwoscc%2Ffull-record%2FWOS:000228223100020","View Full Record in Web of Science")</f>
        <v>View Full Record in Web of Science</v>
      </c>
    </row>
    <row r="287" spans="1:72" x14ac:dyDescent="0.15">
      <c r="A287" t="s">
        <v>72</v>
      </c>
      <c r="B287" t="s">
        <v>4630</v>
      </c>
      <c r="C287" t="s">
        <v>74</v>
      </c>
      <c r="D287" t="s">
        <v>74</v>
      </c>
      <c r="E287" t="s">
        <v>74</v>
      </c>
      <c r="F287" t="s">
        <v>4630</v>
      </c>
      <c r="G287" t="s">
        <v>74</v>
      </c>
      <c r="H287" t="s">
        <v>74</v>
      </c>
      <c r="I287" t="s">
        <v>4631</v>
      </c>
      <c r="J287" t="s">
        <v>3420</v>
      </c>
      <c r="K287" t="s">
        <v>74</v>
      </c>
      <c r="L287" t="s">
        <v>74</v>
      </c>
      <c r="M287" t="s">
        <v>77</v>
      </c>
      <c r="N287" t="s">
        <v>78</v>
      </c>
      <c r="O287" t="s">
        <v>74</v>
      </c>
      <c r="P287" t="s">
        <v>74</v>
      </c>
      <c r="Q287" t="s">
        <v>74</v>
      </c>
      <c r="R287" t="s">
        <v>74</v>
      </c>
      <c r="S287" t="s">
        <v>74</v>
      </c>
      <c r="T287" t="s">
        <v>4632</v>
      </c>
      <c r="U287" t="s">
        <v>4633</v>
      </c>
      <c r="V287" t="s">
        <v>4634</v>
      </c>
      <c r="W287" t="s">
        <v>4635</v>
      </c>
      <c r="X287" t="s">
        <v>593</v>
      </c>
      <c r="Y287" t="s">
        <v>4636</v>
      </c>
      <c r="Z287" t="s">
        <v>4637</v>
      </c>
      <c r="AA287" t="s">
        <v>4638</v>
      </c>
      <c r="AB287" t="s">
        <v>4639</v>
      </c>
      <c r="AC287" t="s">
        <v>74</v>
      </c>
      <c r="AD287" t="s">
        <v>74</v>
      </c>
      <c r="AE287" t="s">
        <v>74</v>
      </c>
      <c r="AF287" t="s">
        <v>74</v>
      </c>
      <c r="AG287">
        <v>22</v>
      </c>
      <c r="AH287">
        <v>15</v>
      </c>
      <c r="AI287">
        <v>15</v>
      </c>
      <c r="AJ287">
        <v>0</v>
      </c>
      <c r="AK287">
        <v>6</v>
      </c>
      <c r="AL287" t="s">
        <v>3434</v>
      </c>
      <c r="AM287" t="s">
        <v>3435</v>
      </c>
      <c r="AN287" t="s">
        <v>3436</v>
      </c>
      <c r="AO287" t="s">
        <v>3437</v>
      </c>
      <c r="AP287" t="s">
        <v>3438</v>
      </c>
      <c r="AQ287" t="s">
        <v>74</v>
      </c>
      <c r="AR287" t="s">
        <v>3439</v>
      </c>
      <c r="AS287" t="s">
        <v>3440</v>
      </c>
      <c r="AT287" t="s">
        <v>4357</v>
      </c>
      <c r="AU287">
        <v>2005</v>
      </c>
      <c r="AV287">
        <v>43</v>
      </c>
      <c r="AW287">
        <v>4</v>
      </c>
      <c r="AX287" t="s">
        <v>74</v>
      </c>
      <c r="AY287" t="s">
        <v>74</v>
      </c>
      <c r="AZ287" t="s">
        <v>74</v>
      </c>
      <c r="BA287" t="s">
        <v>74</v>
      </c>
      <c r="BB287">
        <v>736</v>
      </c>
      <c r="BC287">
        <v>742</v>
      </c>
      <c r="BD287" t="s">
        <v>74</v>
      </c>
      <c r="BE287" t="s">
        <v>4640</v>
      </c>
      <c r="BF287" t="str">
        <f>HYPERLINK("http://dx.doi.org/10.1109/TGRS.2005.843953","http://dx.doi.org/10.1109/TGRS.2005.843953")</f>
        <v>http://dx.doi.org/10.1109/TGRS.2005.843953</v>
      </c>
      <c r="BG287" t="s">
        <v>74</v>
      </c>
      <c r="BH287" t="s">
        <v>74</v>
      </c>
      <c r="BI287">
        <v>7</v>
      </c>
      <c r="BJ287" t="s">
        <v>3442</v>
      </c>
      <c r="BK287" t="s">
        <v>95</v>
      </c>
      <c r="BL287" t="s">
        <v>3443</v>
      </c>
      <c r="BM287" t="s">
        <v>4641</v>
      </c>
      <c r="BN287" t="s">
        <v>74</v>
      </c>
      <c r="BO287" t="s">
        <v>74</v>
      </c>
      <c r="BP287" t="s">
        <v>74</v>
      </c>
      <c r="BQ287" t="s">
        <v>74</v>
      </c>
      <c r="BR287" t="s">
        <v>97</v>
      </c>
      <c r="BS287" t="s">
        <v>4642</v>
      </c>
      <c r="BT287" t="str">
        <f>HYPERLINK("https%3A%2F%2Fwww.webofscience.com%2Fwos%2Fwoscc%2Ffull-record%2FWOS:000227882500007","View Full Record in Web of Science")</f>
        <v>View Full Record in Web of Science</v>
      </c>
    </row>
    <row r="288" spans="1:72" x14ac:dyDescent="0.15">
      <c r="A288" t="s">
        <v>72</v>
      </c>
      <c r="B288" t="s">
        <v>4643</v>
      </c>
      <c r="C288" t="s">
        <v>74</v>
      </c>
      <c r="D288" t="s">
        <v>74</v>
      </c>
      <c r="E288" t="s">
        <v>74</v>
      </c>
      <c r="F288" t="s">
        <v>4643</v>
      </c>
      <c r="G288" t="s">
        <v>74</v>
      </c>
      <c r="H288" t="s">
        <v>74</v>
      </c>
      <c r="I288" t="s">
        <v>4644</v>
      </c>
      <c r="J288" t="s">
        <v>4645</v>
      </c>
      <c r="K288" t="s">
        <v>74</v>
      </c>
      <c r="L288" t="s">
        <v>74</v>
      </c>
      <c r="M288" t="s">
        <v>77</v>
      </c>
      <c r="N288" t="s">
        <v>495</v>
      </c>
      <c r="O288" t="s">
        <v>4646</v>
      </c>
      <c r="P288" t="s">
        <v>4647</v>
      </c>
      <c r="Q288" t="s">
        <v>4648</v>
      </c>
      <c r="R288" t="s">
        <v>74</v>
      </c>
      <c r="S288" t="s">
        <v>74</v>
      </c>
      <c r="T288" t="s">
        <v>74</v>
      </c>
      <c r="U288" t="s">
        <v>4649</v>
      </c>
      <c r="V288" t="s">
        <v>4650</v>
      </c>
      <c r="W288" t="s">
        <v>4651</v>
      </c>
      <c r="X288" t="s">
        <v>4652</v>
      </c>
      <c r="Y288" t="s">
        <v>4653</v>
      </c>
      <c r="Z288" t="s">
        <v>4654</v>
      </c>
      <c r="AA288" t="s">
        <v>74</v>
      </c>
      <c r="AB288" t="s">
        <v>74</v>
      </c>
      <c r="AC288" t="s">
        <v>74</v>
      </c>
      <c r="AD288" t="s">
        <v>74</v>
      </c>
      <c r="AE288" t="s">
        <v>74</v>
      </c>
      <c r="AF288" t="s">
        <v>74</v>
      </c>
      <c r="AG288">
        <v>80</v>
      </c>
      <c r="AH288">
        <v>116</v>
      </c>
      <c r="AI288">
        <v>130</v>
      </c>
      <c r="AJ288">
        <v>1</v>
      </c>
      <c r="AK288">
        <v>23</v>
      </c>
      <c r="AL288" t="s">
        <v>4655</v>
      </c>
      <c r="AM288" t="s">
        <v>4656</v>
      </c>
      <c r="AN288" t="s">
        <v>4657</v>
      </c>
      <c r="AO288" t="s">
        <v>4658</v>
      </c>
      <c r="AP288" t="s">
        <v>4659</v>
      </c>
      <c r="AQ288" t="s">
        <v>74</v>
      </c>
      <c r="AR288" t="s">
        <v>4660</v>
      </c>
      <c r="AS288" t="s">
        <v>4661</v>
      </c>
      <c r="AT288" t="s">
        <v>4357</v>
      </c>
      <c r="AU288">
        <v>2005</v>
      </c>
      <c r="AV288">
        <v>45</v>
      </c>
      <c r="AW288">
        <v>2</v>
      </c>
      <c r="AX288" t="s">
        <v>74</v>
      </c>
      <c r="AY288" t="s">
        <v>74</v>
      </c>
      <c r="AZ288" t="s">
        <v>74</v>
      </c>
      <c r="BA288" t="s">
        <v>74</v>
      </c>
      <c r="BB288">
        <v>247</v>
      </c>
      <c r="BC288">
        <v>255</v>
      </c>
      <c r="BD288" t="s">
        <v>74</v>
      </c>
      <c r="BE288" t="s">
        <v>4662</v>
      </c>
      <c r="BF288" t="str">
        <f>HYPERLINK("http://dx.doi.org/10.1093/icb/45.2.247","http://dx.doi.org/10.1093/icb/45.2.247")</f>
        <v>http://dx.doi.org/10.1093/icb/45.2.247</v>
      </c>
      <c r="BG288" t="s">
        <v>74</v>
      </c>
      <c r="BH288" t="s">
        <v>74</v>
      </c>
      <c r="BI288">
        <v>9</v>
      </c>
      <c r="BJ288" t="s">
        <v>2430</v>
      </c>
      <c r="BK288" t="s">
        <v>514</v>
      </c>
      <c r="BL288" t="s">
        <v>2430</v>
      </c>
      <c r="BM288" t="s">
        <v>4663</v>
      </c>
      <c r="BN288">
        <v>21676768</v>
      </c>
      <c r="BO288" t="s">
        <v>539</v>
      </c>
      <c r="BP288" t="s">
        <v>74</v>
      </c>
      <c r="BQ288" t="s">
        <v>74</v>
      </c>
      <c r="BR288" t="s">
        <v>97</v>
      </c>
      <c r="BS288" t="s">
        <v>4664</v>
      </c>
      <c r="BT288" t="str">
        <f>HYPERLINK("https%3A%2F%2Fwww.webofscience.com%2Fwos%2Fwoscc%2Ffull-record%2FWOS:000229163400005","View Full Record in Web of Science")</f>
        <v>View Full Record in Web of Science</v>
      </c>
    </row>
    <row r="289" spans="1:72" x14ac:dyDescent="0.15">
      <c r="A289" t="s">
        <v>72</v>
      </c>
      <c r="B289" t="s">
        <v>4665</v>
      </c>
      <c r="C289" t="s">
        <v>74</v>
      </c>
      <c r="D289" t="s">
        <v>74</v>
      </c>
      <c r="E289" t="s">
        <v>74</v>
      </c>
      <c r="F289" t="s">
        <v>4665</v>
      </c>
      <c r="G289" t="s">
        <v>74</v>
      </c>
      <c r="H289" t="s">
        <v>74</v>
      </c>
      <c r="I289" t="s">
        <v>4666</v>
      </c>
      <c r="J289" t="s">
        <v>4645</v>
      </c>
      <c r="K289" t="s">
        <v>74</v>
      </c>
      <c r="L289" t="s">
        <v>74</v>
      </c>
      <c r="M289" t="s">
        <v>77</v>
      </c>
      <c r="N289" t="s">
        <v>495</v>
      </c>
      <c r="O289" t="s">
        <v>4667</v>
      </c>
      <c r="P289" t="s">
        <v>4647</v>
      </c>
      <c r="Q289" t="s">
        <v>4648</v>
      </c>
      <c r="R289" t="s">
        <v>74</v>
      </c>
      <c r="S289" t="s">
        <v>74</v>
      </c>
      <c r="T289" t="s">
        <v>74</v>
      </c>
      <c r="U289" t="s">
        <v>4668</v>
      </c>
      <c r="V289" t="s">
        <v>4669</v>
      </c>
      <c r="W289" t="s">
        <v>4670</v>
      </c>
      <c r="X289" t="s">
        <v>4671</v>
      </c>
      <c r="Y289" t="s">
        <v>4672</v>
      </c>
      <c r="Z289" t="s">
        <v>4673</v>
      </c>
      <c r="AA289" t="s">
        <v>85</v>
      </c>
      <c r="AB289" t="s">
        <v>4674</v>
      </c>
      <c r="AC289" t="s">
        <v>74</v>
      </c>
      <c r="AD289" t="s">
        <v>74</v>
      </c>
      <c r="AE289" t="s">
        <v>74</v>
      </c>
      <c r="AF289" t="s">
        <v>74</v>
      </c>
      <c r="AG289">
        <v>89</v>
      </c>
      <c r="AH289">
        <v>144</v>
      </c>
      <c r="AI289">
        <v>166</v>
      </c>
      <c r="AJ289">
        <v>3</v>
      </c>
      <c r="AK289">
        <v>42</v>
      </c>
      <c r="AL289" t="s">
        <v>4655</v>
      </c>
      <c r="AM289" t="s">
        <v>4656</v>
      </c>
      <c r="AN289" t="s">
        <v>4657</v>
      </c>
      <c r="AO289" t="s">
        <v>4658</v>
      </c>
      <c r="AP289" t="s">
        <v>4659</v>
      </c>
      <c r="AQ289" t="s">
        <v>74</v>
      </c>
      <c r="AR289" t="s">
        <v>4660</v>
      </c>
      <c r="AS289" t="s">
        <v>4661</v>
      </c>
      <c r="AT289" t="s">
        <v>4357</v>
      </c>
      <c r="AU289">
        <v>2005</v>
      </c>
      <c r="AV289">
        <v>45</v>
      </c>
      <c r="AW289">
        <v>2</v>
      </c>
      <c r="AX289" t="s">
        <v>74</v>
      </c>
      <c r="AY289" t="s">
        <v>74</v>
      </c>
      <c r="AZ289" t="s">
        <v>74</v>
      </c>
      <c r="BA289" t="s">
        <v>74</v>
      </c>
      <c r="BB289">
        <v>359</v>
      </c>
      <c r="BC289">
        <v>368</v>
      </c>
      <c r="BD289" t="s">
        <v>74</v>
      </c>
      <c r="BE289" t="s">
        <v>4675</v>
      </c>
      <c r="BF289" t="str">
        <f>HYPERLINK("http://dx.doi.org/10.1093/icb/45.2.359","http://dx.doi.org/10.1093/icb/45.2.359")</f>
        <v>http://dx.doi.org/10.1093/icb/45.2.359</v>
      </c>
      <c r="BG289" t="s">
        <v>74</v>
      </c>
      <c r="BH289" t="s">
        <v>74</v>
      </c>
      <c r="BI289">
        <v>10</v>
      </c>
      <c r="BJ289" t="s">
        <v>2430</v>
      </c>
      <c r="BK289" t="s">
        <v>514</v>
      </c>
      <c r="BL289" t="s">
        <v>2430</v>
      </c>
      <c r="BM289" t="s">
        <v>4663</v>
      </c>
      <c r="BN289">
        <v>21676781</v>
      </c>
      <c r="BO289" t="s">
        <v>539</v>
      </c>
      <c r="BP289" t="s">
        <v>74</v>
      </c>
      <c r="BQ289" t="s">
        <v>74</v>
      </c>
      <c r="BR289" t="s">
        <v>97</v>
      </c>
      <c r="BS289" t="s">
        <v>4676</v>
      </c>
      <c r="BT289" t="str">
        <f>HYPERLINK("https%3A%2F%2Fwww.webofscience.com%2Fwos%2Fwoscc%2Ffull-record%2FWOS:000229163400018","View Full Record in Web of Science")</f>
        <v>View Full Record in Web of Science</v>
      </c>
    </row>
    <row r="290" spans="1:72" x14ac:dyDescent="0.15">
      <c r="A290" t="s">
        <v>72</v>
      </c>
      <c r="B290" t="s">
        <v>4677</v>
      </c>
      <c r="C290" t="s">
        <v>74</v>
      </c>
      <c r="D290" t="s">
        <v>74</v>
      </c>
      <c r="E290" t="s">
        <v>74</v>
      </c>
      <c r="F290" t="s">
        <v>4677</v>
      </c>
      <c r="G290" t="s">
        <v>74</v>
      </c>
      <c r="H290" t="s">
        <v>74</v>
      </c>
      <c r="I290" t="s">
        <v>4678</v>
      </c>
      <c r="J290" t="s">
        <v>462</v>
      </c>
      <c r="K290" t="s">
        <v>74</v>
      </c>
      <c r="L290" t="s">
        <v>74</v>
      </c>
      <c r="M290" t="s">
        <v>77</v>
      </c>
      <c r="N290" t="s">
        <v>78</v>
      </c>
      <c r="O290" t="s">
        <v>74</v>
      </c>
      <c r="P290" t="s">
        <v>74</v>
      </c>
      <c r="Q290" t="s">
        <v>74</v>
      </c>
      <c r="R290" t="s">
        <v>74</v>
      </c>
      <c r="S290" t="s">
        <v>74</v>
      </c>
      <c r="T290" t="s">
        <v>4679</v>
      </c>
      <c r="U290" t="s">
        <v>4680</v>
      </c>
      <c r="V290" t="s">
        <v>4681</v>
      </c>
      <c r="W290" t="s">
        <v>4682</v>
      </c>
      <c r="X290" t="s">
        <v>4683</v>
      </c>
      <c r="Y290" t="s">
        <v>4684</v>
      </c>
      <c r="Z290" t="s">
        <v>4685</v>
      </c>
      <c r="AA290" t="s">
        <v>4686</v>
      </c>
      <c r="AB290" t="s">
        <v>74</v>
      </c>
      <c r="AC290" t="s">
        <v>74</v>
      </c>
      <c r="AD290" t="s">
        <v>74</v>
      </c>
      <c r="AE290" t="s">
        <v>74</v>
      </c>
      <c r="AF290" t="s">
        <v>74</v>
      </c>
      <c r="AG290">
        <v>51</v>
      </c>
      <c r="AH290">
        <v>9</v>
      </c>
      <c r="AI290">
        <v>9</v>
      </c>
      <c r="AJ290">
        <v>0</v>
      </c>
      <c r="AK290">
        <v>4</v>
      </c>
      <c r="AL290" t="s">
        <v>472</v>
      </c>
      <c r="AM290" t="s">
        <v>473</v>
      </c>
      <c r="AN290" t="s">
        <v>474</v>
      </c>
      <c r="AO290" t="s">
        <v>475</v>
      </c>
      <c r="AP290" t="s">
        <v>476</v>
      </c>
      <c r="AQ290" t="s">
        <v>74</v>
      </c>
      <c r="AR290" t="s">
        <v>477</v>
      </c>
      <c r="AS290" t="s">
        <v>478</v>
      </c>
      <c r="AT290" t="s">
        <v>4357</v>
      </c>
      <c r="AU290">
        <v>2005</v>
      </c>
      <c r="AV290">
        <v>25</v>
      </c>
      <c r="AW290">
        <v>5</v>
      </c>
      <c r="AX290" t="s">
        <v>74</v>
      </c>
      <c r="AY290" t="s">
        <v>74</v>
      </c>
      <c r="AZ290" t="s">
        <v>74</v>
      </c>
      <c r="BA290" t="s">
        <v>74</v>
      </c>
      <c r="BB290">
        <v>569</v>
      </c>
      <c r="BC290">
        <v>579</v>
      </c>
      <c r="BD290" t="s">
        <v>74</v>
      </c>
      <c r="BE290" t="s">
        <v>4687</v>
      </c>
      <c r="BF290" t="str">
        <f>HYPERLINK("http://dx.doi.org/10.1002/joc.1139","http://dx.doi.org/10.1002/joc.1139")</f>
        <v>http://dx.doi.org/10.1002/joc.1139</v>
      </c>
      <c r="BG290" t="s">
        <v>74</v>
      </c>
      <c r="BH290" t="s">
        <v>74</v>
      </c>
      <c r="BI290">
        <v>11</v>
      </c>
      <c r="BJ290" t="s">
        <v>401</v>
      </c>
      <c r="BK290" t="s">
        <v>95</v>
      </c>
      <c r="BL290" t="s">
        <v>401</v>
      </c>
      <c r="BM290" t="s">
        <v>4688</v>
      </c>
      <c r="BN290" t="s">
        <v>74</v>
      </c>
      <c r="BO290" t="s">
        <v>750</v>
      </c>
      <c r="BP290" t="s">
        <v>74</v>
      </c>
      <c r="BQ290" t="s">
        <v>74</v>
      </c>
      <c r="BR290" t="s">
        <v>97</v>
      </c>
      <c r="BS290" t="s">
        <v>4689</v>
      </c>
      <c r="BT290" t="str">
        <f>HYPERLINK("https%3A%2F%2Fwww.webofscience.com%2Fwos%2Fwoscc%2Ffull-record%2FWOS:000228734000002","View Full Record in Web of Science")</f>
        <v>View Full Record in Web of Science</v>
      </c>
    </row>
    <row r="291" spans="1:72" x14ac:dyDescent="0.15">
      <c r="A291" t="s">
        <v>72</v>
      </c>
      <c r="B291" t="s">
        <v>4690</v>
      </c>
      <c r="C291" t="s">
        <v>74</v>
      </c>
      <c r="D291" t="s">
        <v>74</v>
      </c>
      <c r="E291" t="s">
        <v>74</v>
      </c>
      <c r="F291" t="s">
        <v>4690</v>
      </c>
      <c r="G291" t="s">
        <v>74</v>
      </c>
      <c r="H291" t="s">
        <v>74</v>
      </c>
      <c r="I291" t="s">
        <v>4691</v>
      </c>
      <c r="J291" t="s">
        <v>462</v>
      </c>
      <c r="K291" t="s">
        <v>74</v>
      </c>
      <c r="L291" t="s">
        <v>74</v>
      </c>
      <c r="M291" t="s">
        <v>77</v>
      </c>
      <c r="N291" t="s">
        <v>78</v>
      </c>
      <c r="O291" t="s">
        <v>74</v>
      </c>
      <c r="P291" t="s">
        <v>74</v>
      </c>
      <c r="Q291" t="s">
        <v>74</v>
      </c>
      <c r="R291" t="s">
        <v>74</v>
      </c>
      <c r="S291" t="s">
        <v>74</v>
      </c>
      <c r="T291" t="s">
        <v>4692</v>
      </c>
      <c r="U291" t="s">
        <v>4693</v>
      </c>
      <c r="V291" t="s">
        <v>4694</v>
      </c>
      <c r="W291" t="s">
        <v>4695</v>
      </c>
      <c r="X291" t="s">
        <v>4696</v>
      </c>
      <c r="Y291" t="s">
        <v>4697</v>
      </c>
      <c r="Z291" t="s">
        <v>4698</v>
      </c>
      <c r="AA291" t="s">
        <v>4699</v>
      </c>
      <c r="AB291" t="s">
        <v>4700</v>
      </c>
      <c r="AC291" t="s">
        <v>74</v>
      </c>
      <c r="AD291" t="s">
        <v>74</v>
      </c>
      <c r="AE291" t="s">
        <v>74</v>
      </c>
      <c r="AF291" t="s">
        <v>74</v>
      </c>
      <c r="AG291">
        <v>62</v>
      </c>
      <c r="AH291">
        <v>35</v>
      </c>
      <c r="AI291">
        <v>37</v>
      </c>
      <c r="AJ291">
        <v>0</v>
      </c>
      <c r="AK291">
        <v>7</v>
      </c>
      <c r="AL291" t="s">
        <v>472</v>
      </c>
      <c r="AM291" t="s">
        <v>473</v>
      </c>
      <c r="AN291" t="s">
        <v>474</v>
      </c>
      <c r="AO291" t="s">
        <v>475</v>
      </c>
      <c r="AP291" t="s">
        <v>476</v>
      </c>
      <c r="AQ291" t="s">
        <v>74</v>
      </c>
      <c r="AR291" t="s">
        <v>477</v>
      </c>
      <c r="AS291" t="s">
        <v>478</v>
      </c>
      <c r="AT291" t="s">
        <v>4357</v>
      </c>
      <c r="AU291">
        <v>2005</v>
      </c>
      <c r="AV291">
        <v>25</v>
      </c>
      <c r="AW291">
        <v>5</v>
      </c>
      <c r="AX291" t="s">
        <v>74</v>
      </c>
      <c r="AY291" t="s">
        <v>74</v>
      </c>
      <c r="AZ291" t="s">
        <v>74</v>
      </c>
      <c r="BA291" t="s">
        <v>74</v>
      </c>
      <c r="BB291">
        <v>581</v>
      </c>
      <c r="BC291">
        <v>610</v>
      </c>
      <c r="BD291" t="s">
        <v>74</v>
      </c>
      <c r="BE291" t="s">
        <v>4701</v>
      </c>
      <c r="BF291" t="str">
        <f>HYPERLINK("http://dx.doi.org/10.1002/joc.1143","http://dx.doi.org/10.1002/joc.1143")</f>
        <v>http://dx.doi.org/10.1002/joc.1143</v>
      </c>
      <c r="BG291" t="s">
        <v>74</v>
      </c>
      <c r="BH291" t="s">
        <v>74</v>
      </c>
      <c r="BI291">
        <v>30</v>
      </c>
      <c r="BJ291" t="s">
        <v>401</v>
      </c>
      <c r="BK291" t="s">
        <v>95</v>
      </c>
      <c r="BL291" t="s">
        <v>401</v>
      </c>
      <c r="BM291" t="s">
        <v>4688</v>
      </c>
      <c r="BN291" t="s">
        <v>74</v>
      </c>
      <c r="BO291" t="s">
        <v>74</v>
      </c>
      <c r="BP291" t="s">
        <v>74</v>
      </c>
      <c r="BQ291" t="s">
        <v>74</v>
      </c>
      <c r="BR291" t="s">
        <v>97</v>
      </c>
      <c r="BS291" t="s">
        <v>4702</v>
      </c>
      <c r="BT291" t="str">
        <f>HYPERLINK("https%3A%2F%2Fwww.webofscience.com%2Fwos%2Fwoscc%2Ffull-record%2FWOS:000228734000003","View Full Record in Web of Science")</f>
        <v>View Full Record in Web of Science</v>
      </c>
    </row>
    <row r="292" spans="1:72" x14ac:dyDescent="0.15">
      <c r="A292" t="s">
        <v>72</v>
      </c>
      <c r="B292" t="s">
        <v>4703</v>
      </c>
      <c r="C292" t="s">
        <v>74</v>
      </c>
      <c r="D292" t="s">
        <v>74</v>
      </c>
      <c r="E292" t="s">
        <v>74</v>
      </c>
      <c r="F292" t="s">
        <v>4703</v>
      </c>
      <c r="G292" t="s">
        <v>74</v>
      </c>
      <c r="H292" t="s">
        <v>74</v>
      </c>
      <c r="I292" t="s">
        <v>4704</v>
      </c>
      <c r="J292" t="s">
        <v>4705</v>
      </c>
      <c r="K292" t="s">
        <v>74</v>
      </c>
      <c r="L292" t="s">
        <v>74</v>
      </c>
      <c r="M292" t="s">
        <v>77</v>
      </c>
      <c r="N292" t="s">
        <v>365</v>
      </c>
      <c r="O292" t="s">
        <v>74</v>
      </c>
      <c r="P292" t="s">
        <v>74</v>
      </c>
      <c r="Q292" t="s">
        <v>74</v>
      </c>
      <c r="R292" t="s">
        <v>74</v>
      </c>
      <c r="S292" t="s">
        <v>74</v>
      </c>
      <c r="T292" t="s">
        <v>4706</v>
      </c>
      <c r="U292" t="s">
        <v>4707</v>
      </c>
      <c r="V292" t="s">
        <v>4708</v>
      </c>
      <c r="W292" t="s">
        <v>4709</v>
      </c>
      <c r="X292" t="s">
        <v>4710</v>
      </c>
      <c r="Y292" t="s">
        <v>4711</v>
      </c>
      <c r="Z292" t="s">
        <v>4712</v>
      </c>
      <c r="AA292" t="s">
        <v>74</v>
      </c>
      <c r="AB292" t="s">
        <v>74</v>
      </c>
      <c r="AC292" t="s">
        <v>74</v>
      </c>
      <c r="AD292" t="s">
        <v>74</v>
      </c>
      <c r="AE292" t="s">
        <v>74</v>
      </c>
      <c r="AF292" t="s">
        <v>74</v>
      </c>
      <c r="AG292">
        <v>148</v>
      </c>
      <c r="AH292">
        <v>90</v>
      </c>
      <c r="AI292">
        <v>94</v>
      </c>
      <c r="AJ292">
        <v>3</v>
      </c>
      <c r="AK292">
        <v>15</v>
      </c>
      <c r="AL292" t="s">
        <v>435</v>
      </c>
      <c r="AM292" t="s">
        <v>436</v>
      </c>
      <c r="AN292" t="s">
        <v>437</v>
      </c>
      <c r="AO292" t="s">
        <v>4713</v>
      </c>
      <c r="AP292" t="s">
        <v>4714</v>
      </c>
      <c r="AQ292" t="s">
        <v>74</v>
      </c>
      <c r="AR292" t="s">
        <v>4715</v>
      </c>
      <c r="AS292" t="s">
        <v>4716</v>
      </c>
      <c r="AT292" t="s">
        <v>4529</v>
      </c>
      <c r="AU292">
        <v>2005</v>
      </c>
      <c r="AV292">
        <v>242</v>
      </c>
      <c r="AW292" t="s">
        <v>1720</v>
      </c>
      <c r="AX292" t="s">
        <v>74</v>
      </c>
      <c r="AY292" t="s">
        <v>74</v>
      </c>
      <c r="AZ292" t="s">
        <v>74</v>
      </c>
      <c r="BA292" t="s">
        <v>74</v>
      </c>
      <c r="BB292">
        <v>145</v>
      </c>
      <c r="BC292">
        <v>160</v>
      </c>
      <c r="BD292" t="s">
        <v>74</v>
      </c>
      <c r="BE292" t="s">
        <v>4717</v>
      </c>
      <c r="BF292" t="str">
        <f>HYPERLINK("http://dx.doi.org/10.1016/j.ijms.2004.10.029","http://dx.doi.org/10.1016/j.ijms.2004.10.029")</f>
        <v>http://dx.doi.org/10.1016/j.ijms.2004.10.029</v>
      </c>
      <c r="BG292" t="s">
        <v>74</v>
      </c>
      <c r="BH292" t="s">
        <v>74</v>
      </c>
      <c r="BI292">
        <v>16</v>
      </c>
      <c r="BJ292" t="s">
        <v>4718</v>
      </c>
      <c r="BK292" t="s">
        <v>95</v>
      </c>
      <c r="BL292" t="s">
        <v>4719</v>
      </c>
      <c r="BM292" t="s">
        <v>4720</v>
      </c>
      <c r="BN292" t="s">
        <v>74</v>
      </c>
      <c r="BO292" t="s">
        <v>74</v>
      </c>
      <c r="BP292" t="s">
        <v>74</v>
      </c>
      <c r="BQ292" t="s">
        <v>74</v>
      </c>
      <c r="BR292" t="s">
        <v>97</v>
      </c>
      <c r="BS292" t="s">
        <v>4721</v>
      </c>
      <c r="BT292" t="str">
        <f>HYPERLINK("https%3A%2F%2Fwww.webofscience.com%2Fwos%2Fwoscc%2Ffull-record%2FWOS:000228207800005","View Full Record in Web of Science")</f>
        <v>View Full Record in Web of Science</v>
      </c>
    </row>
    <row r="293" spans="1:72" x14ac:dyDescent="0.15">
      <c r="A293" t="s">
        <v>72</v>
      </c>
      <c r="B293" t="s">
        <v>4722</v>
      </c>
      <c r="C293" t="s">
        <v>74</v>
      </c>
      <c r="D293" t="s">
        <v>74</v>
      </c>
      <c r="E293" t="s">
        <v>74</v>
      </c>
      <c r="F293" t="s">
        <v>4722</v>
      </c>
      <c r="G293" t="s">
        <v>74</v>
      </c>
      <c r="H293" t="s">
        <v>74</v>
      </c>
      <c r="I293" t="s">
        <v>4723</v>
      </c>
      <c r="J293" t="s">
        <v>1726</v>
      </c>
      <c r="K293" t="s">
        <v>74</v>
      </c>
      <c r="L293" t="s">
        <v>74</v>
      </c>
      <c r="M293" t="s">
        <v>77</v>
      </c>
      <c r="N293" t="s">
        <v>78</v>
      </c>
      <c r="O293" t="s">
        <v>74</v>
      </c>
      <c r="P293" t="s">
        <v>74</v>
      </c>
      <c r="Q293" t="s">
        <v>74</v>
      </c>
      <c r="R293" t="s">
        <v>74</v>
      </c>
      <c r="S293" t="s">
        <v>74</v>
      </c>
      <c r="T293" t="s">
        <v>74</v>
      </c>
      <c r="U293" t="s">
        <v>4724</v>
      </c>
      <c r="V293" t="s">
        <v>4725</v>
      </c>
      <c r="W293" t="s">
        <v>4726</v>
      </c>
      <c r="X293" t="s">
        <v>4727</v>
      </c>
      <c r="Y293" t="s">
        <v>4728</v>
      </c>
      <c r="Z293" t="s">
        <v>4729</v>
      </c>
      <c r="AA293" t="s">
        <v>4730</v>
      </c>
      <c r="AB293" t="s">
        <v>4731</v>
      </c>
      <c r="AC293" t="s">
        <v>74</v>
      </c>
      <c r="AD293" t="s">
        <v>74</v>
      </c>
      <c r="AE293" t="s">
        <v>74</v>
      </c>
      <c r="AF293" t="s">
        <v>74</v>
      </c>
      <c r="AG293">
        <v>28</v>
      </c>
      <c r="AH293">
        <v>0</v>
      </c>
      <c r="AI293">
        <v>0</v>
      </c>
      <c r="AJ293">
        <v>0</v>
      </c>
      <c r="AK293">
        <v>1</v>
      </c>
      <c r="AL293" t="s">
        <v>902</v>
      </c>
      <c r="AM293" t="s">
        <v>903</v>
      </c>
      <c r="AN293" t="s">
        <v>922</v>
      </c>
      <c r="AO293" t="s">
        <v>1735</v>
      </c>
      <c r="AP293" t="s">
        <v>74</v>
      </c>
      <c r="AQ293" t="s">
        <v>74</v>
      </c>
      <c r="AR293" t="s">
        <v>1736</v>
      </c>
      <c r="AS293" t="s">
        <v>1737</v>
      </c>
      <c r="AT293" t="s">
        <v>4357</v>
      </c>
      <c r="AU293">
        <v>2005</v>
      </c>
      <c r="AV293">
        <v>22</v>
      </c>
      <c r="AW293">
        <v>4</v>
      </c>
      <c r="AX293" t="s">
        <v>74</v>
      </c>
      <c r="AY293" t="s">
        <v>74</v>
      </c>
      <c r="AZ293" t="s">
        <v>74</v>
      </c>
      <c r="BA293" t="s">
        <v>74</v>
      </c>
      <c r="BB293">
        <v>476</v>
      </c>
      <c r="BC293">
        <v>489</v>
      </c>
      <c r="BD293" t="s">
        <v>74</v>
      </c>
      <c r="BE293" t="s">
        <v>4732</v>
      </c>
      <c r="BF293" t="str">
        <f>HYPERLINK("http://dx.doi.org/10.1175/JTECH1714.1","http://dx.doi.org/10.1175/JTECH1714.1")</f>
        <v>http://dx.doi.org/10.1175/JTECH1714.1</v>
      </c>
      <c r="BG293" t="s">
        <v>74</v>
      </c>
      <c r="BH293" t="s">
        <v>74</v>
      </c>
      <c r="BI293">
        <v>14</v>
      </c>
      <c r="BJ293" t="s">
        <v>1739</v>
      </c>
      <c r="BK293" t="s">
        <v>95</v>
      </c>
      <c r="BL293" t="s">
        <v>1740</v>
      </c>
      <c r="BM293" t="s">
        <v>4733</v>
      </c>
      <c r="BN293" t="s">
        <v>74</v>
      </c>
      <c r="BO293" t="s">
        <v>855</v>
      </c>
      <c r="BP293" t="s">
        <v>74</v>
      </c>
      <c r="BQ293" t="s">
        <v>74</v>
      </c>
      <c r="BR293" t="s">
        <v>97</v>
      </c>
      <c r="BS293" t="s">
        <v>4734</v>
      </c>
      <c r="BT293" t="str">
        <f>HYPERLINK("https%3A%2F%2Fwww.webofscience.com%2Fwos%2Fwoscc%2Ffull-record%2FWOS:000229287600012","View Full Record in Web of Science")</f>
        <v>View Full Record in Web of Science</v>
      </c>
    </row>
    <row r="294" spans="1:72" x14ac:dyDescent="0.15">
      <c r="A294" t="s">
        <v>72</v>
      </c>
      <c r="B294" t="s">
        <v>4735</v>
      </c>
      <c r="C294" t="s">
        <v>74</v>
      </c>
      <c r="D294" t="s">
        <v>74</v>
      </c>
      <c r="E294" t="s">
        <v>74</v>
      </c>
      <c r="F294" t="s">
        <v>4735</v>
      </c>
      <c r="G294" t="s">
        <v>74</v>
      </c>
      <c r="H294" t="s">
        <v>74</v>
      </c>
      <c r="I294" t="s">
        <v>4736</v>
      </c>
      <c r="J294" t="s">
        <v>3501</v>
      </c>
      <c r="K294" t="s">
        <v>74</v>
      </c>
      <c r="L294" t="s">
        <v>74</v>
      </c>
      <c r="M294" t="s">
        <v>77</v>
      </c>
      <c r="N294" t="s">
        <v>78</v>
      </c>
      <c r="O294" t="s">
        <v>74</v>
      </c>
      <c r="P294" t="s">
        <v>74</v>
      </c>
      <c r="Q294" t="s">
        <v>74</v>
      </c>
      <c r="R294" t="s">
        <v>74</v>
      </c>
      <c r="S294" t="s">
        <v>74</v>
      </c>
      <c r="T294" t="s">
        <v>4737</v>
      </c>
      <c r="U294" t="s">
        <v>4738</v>
      </c>
      <c r="V294" t="s">
        <v>4739</v>
      </c>
      <c r="W294" t="s">
        <v>4740</v>
      </c>
      <c r="X294" t="s">
        <v>4741</v>
      </c>
      <c r="Y294" t="s">
        <v>4742</v>
      </c>
      <c r="Z294" t="s">
        <v>4743</v>
      </c>
      <c r="AA294" t="s">
        <v>74</v>
      </c>
      <c r="AB294" t="s">
        <v>74</v>
      </c>
      <c r="AC294" t="s">
        <v>74</v>
      </c>
      <c r="AD294" t="s">
        <v>74</v>
      </c>
      <c r="AE294" t="s">
        <v>74</v>
      </c>
      <c r="AF294" t="s">
        <v>74</v>
      </c>
      <c r="AG294">
        <v>99</v>
      </c>
      <c r="AH294">
        <v>29</v>
      </c>
      <c r="AI294">
        <v>35</v>
      </c>
      <c r="AJ294">
        <v>0</v>
      </c>
      <c r="AK294">
        <v>8</v>
      </c>
      <c r="AL294" t="s">
        <v>472</v>
      </c>
      <c r="AM294" t="s">
        <v>473</v>
      </c>
      <c r="AN294" t="s">
        <v>474</v>
      </c>
      <c r="AO294" t="s">
        <v>3511</v>
      </c>
      <c r="AP294" t="s">
        <v>3512</v>
      </c>
      <c r="AQ294" t="s">
        <v>74</v>
      </c>
      <c r="AR294" t="s">
        <v>3513</v>
      </c>
      <c r="AS294" t="s">
        <v>3514</v>
      </c>
      <c r="AT294" t="s">
        <v>4357</v>
      </c>
      <c r="AU294">
        <v>2005</v>
      </c>
      <c r="AV294">
        <v>32</v>
      </c>
      <c r="AW294">
        <v>4</v>
      </c>
      <c r="AX294" t="s">
        <v>74</v>
      </c>
      <c r="AY294" t="s">
        <v>74</v>
      </c>
      <c r="AZ294" t="s">
        <v>74</v>
      </c>
      <c r="BA294" t="s">
        <v>74</v>
      </c>
      <c r="BB294">
        <v>551</v>
      </c>
      <c r="BC294">
        <v>564</v>
      </c>
      <c r="BD294" t="s">
        <v>74</v>
      </c>
      <c r="BE294" t="s">
        <v>4744</v>
      </c>
      <c r="BF294" t="str">
        <f>HYPERLINK("http://dx.doi.org/10.1111/j.1365-2699.2005.01231.x","http://dx.doi.org/10.1111/j.1365-2699.2005.01231.x")</f>
        <v>http://dx.doi.org/10.1111/j.1365-2699.2005.01231.x</v>
      </c>
      <c r="BG294" t="s">
        <v>74</v>
      </c>
      <c r="BH294" t="s">
        <v>74</v>
      </c>
      <c r="BI294">
        <v>14</v>
      </c>
      <c r="BJ294" t="s">
        <v>3516</v>
      </c>
      <c r="BK294" t="s">
        <v>95</v>
      </c>
      <c r="BL294" t="s">
        <v>2963</v>
      </c>
      <c r="BM294" t="s">
        <v>4745</v>
      </c>
      <c r="BN294" t="s">
        <v>74</v>
      </c>
      <c r="BO294" t="s">
        <v>74</v>
      </c>
      <c r="BP294" t="s">
        <v>74</v>
      </c>
      <c r="BQ294" t="s">
        <v>74</v>
      </c>
      <c r="BR294" t="s">
        <v>97</v>
      </c>
      <c r="BS294" t="s">
        <v>4746</v>
      </c>
      <c r="BT294" t="str">
        <f>HYPERLINK("https%3A%2F%2Fwww.webofscience.com%2Fwos%2Fwoscc%2Ffull-record%2FWOS:000228017800001","View Full Record in Web of Science")</f>
        <v>View Full Record in Web of Science</v>
      </c>
    </row>
    <row r="295" spans="1:72" x14ac:dyDescent="0.15">
      <c r="A295" t="s">
        <v>72</v>
      </c>
      <c r="B295" t="s">
        <v>4747</v>
      </c>
      <c r="C295" t="s">
        <v>74</v>
      </c>
      <c r="D295" t="s">
        <v>74</v>
      </c>
      <c r="E295" t="s">
        <v>74</v>
      </c>
      <c r="F295" t="s">
        <v>4747</v>
      </c>
      <c r="G295" t="s">
        <v>74</v>
      </c>
      <c r="H295" t="s">
        <v>74</v>
      </c>
      <c r="I295" t="s">
        <v>4748</v>
      </c>
      <c r="J295" t="s">
        <v>4749</v>
      </c>
      <c r="K295" t="s">
        <v>74</v>
      </c>
      <c r="L295" t="s">
        <v>74</v>
      </c>
      <c r="M295" t="s">
        <v>77</v>
      </c>
      <c r="N295" t="s">
        <v>78</v>
      </c>
      <c r="O295" t="s">
        <v>74</v>
      </c>
      <c r="P295" t="s">
        <v>74</v>
      </c>
      <c r="Q295" t="s">
        <v>74</v>
      </c>
      <c r="R295" t="s">
        <v>74</v>
      </c>
      <c r="S295" t="s">
        <v>74</v>
      </c>
      <c r="T295" t="s">
        <v>4750</v>
      </c>
      <c r="U295" t="s">
        <v>4751</v>
      </c>
      <c r="V295" t="s">
        <v>4752</v>
      </c>
      <c r="W295" t="s">
        <v>4753</v>
      </c>
      <c r="X295" t="s">
        <v>4754</v>
      </c>
      <c r="Y295" t="s">
        <v>4755</v>
      </c>
      <c r="Z295" t="s">
        <v>74</v>
      </c>
      <c r="AA295" t="s">
        <v>74</v>
      </c>
      <c r="AB295" t="s">
        <v>74</v>
      </c>
      <c r="AC295" t="s">
        <v>74</v>
      </c>
      <c r="AD295" t="s">
        <v>74</v>
      </c>
      <c r="AE295" t="s">
        <v>74</v>
      </c>
      <c r="AF295" t="s">
        <v>74</v>
      </c>
      <c r="AG295">
        <v>35</v>
      </c>
      <c r="AH295">
        <v>3</v>
      </c>
      <c r="AI295">
        <v>3</v>
      </c>
      <c r="AJ295">
        <v>0</v>
      </c>
      <c r="AK295">
        <v>3</v>
      </c>
      <c r="AL295" t="s">
        <v>1713</v>
      </c>
      <c r="AM295" t="s">
        <v>1714</v>
      </c>
      <c r="AN295" t="s">
        <v>1715</v>
      </c>
      <c r="AO295" t="s">
        <v>4756</v>
      </c>
      <c r="AP295" t="s">
        <v>74</v>
      </c>
      <c r="AQ295" t="s">
        <v>74</v>
      </c>
      <c r="AR295" t="s">
        <v>4757</v>
      </c>
      <c r="AS295" t="s">
        <v>4758</v>
      </c>
      <c r="AT295" t="s">
        <v>4357</v>
      </c>
      <c r="AU295">
        <v>2005</v>
      </c>
      <c r="AV295">
        <v>114</v>
      </c>
      <c r="AW295">
        <v>2</v>
      </c>
      <c r="AX295" t="s">
        <v>74</v>
      </c>
      <c r="AY295" t="s">
        <v>74</v>
      </c>
      <c r="AZ295" t="s">
        <v>74</v>
      </c>
      <c r="BA295" t="s">
        <v>74</v>
      </c>
      <c r="BB295">
        <v>177</v>
      </c>
      <c r="BC295">
        <v>184</v>
      </c>
      <c r="BD295" t="s">
        <v>74</v>
      </c>
      <c r="BE295" t="s">
        <v>4759</v>
      </c>
      <c r="BF295" t="str">
        <f>HYPERLINK("http://dx.doi.org/10.1007/BF02702019","http://dx.doi.org/10.1007/BF02702019")</f>
        <v>http://dx.doi.org/10.1007/BF02702019</v>
      </c>
      <c r="BG295" t="s">
        <v>74</v>
      </c>
      <c r="BH295" t="s">
        <v>74</v>
      </c>
      <c r="BI295">
        <v>8</v>
      </c>
      <c r="BJ295" t="s">
        <v>4760</v>
      </c>
      <c r="BK295" t="s">
        <v>95</v>
      </c>
      <c r="BL295" t="s">
        <v>4761</v>
      </c>
      <c r="BM295" t="s">
        <v>4762</v>
      </c>
      <c r="BN295" t="s">
        <v>74</v>
      </c>
      <c r="BO295" t="s">
        <v>539</v>
      </c>
      <c r="BP295" t="s">
        <v>74</v>
      </c>
      <c r="BQ295" t="s">
        <v>74</v>
      </c>
      <c r="BR295" t="s">
        <v>97</v>
      </c>
      <c r="BS295" t="s">
        <v>4763</v>
      </c>
      <c r="BT295" t="str">
        <f>HYPERLINK("https%3A%2F%2Fwww.webofscience.com%2Fwos%2Fwoscc%2Ffull-record%2FWOS:000228504100006","View Full Record in Web of Science")</f>
        <v>View Full Record in Web of Science</v>
      </c>
    </row>
    <row r="296" spans="1:72" x14ac:dyDescent="0.15">
      <c r="A296" t="s">
        <v>72</v>
      </c>
      <c r="B296" t="s">
        <v>4764</v>
      </c>
      <c r="C296" t="s">
        <v>74</v>
      </c>
      <c r="D296" t="s">
        <v>74</v>
      </c>
      <c r="E296" t="s">
        <v>74</v>
      </c>
      <c r="F296" t="s">
        <v>4764</v>
      </c>
      <c r="G296" t="s">
        <v>74</v>
      </c>
      <c r="H296" t="s">
        <v>74</v>
      </c>
      <c r="I296" t="s">
        <v>4765</v>
      </c>
      <c r="J296" t="s">
        <v>4766</v>
      </c>
      <c r="K296" t="s">
        <v>74</v>
      </c>
      <c r="L296" t="s">
        <v>74</v>
      </c>
      <c r="M296" t="s">
        <v>77</v>
      </c>
      <c r="N296" t="s">
        <v>78</v>
      </c>
      <c r="O296" t="s">
        <v>74</v>
      </c>
      <c r="P296" t="s">
        <v>74</v>
      </c>
      <c r="Q296" t="s">
        <v>74</v>
      </c>
      <c r="R296" t="s">
        <v>74</v>
      </c>
      <c r="S296" t="s">
        <v>74</v>
      </c>
      <c r="T296" t="s">
        <v>4767</v>
      </c>
      <c r="U296" t="s">
        <v>4768</v>
      </c>
      <c r="V296" t="s">
        <v>4769</v>
      </c>
      <c r="W296" t="s">
        <v>4770</v>
      </c>
      <c r="X296" t="s">
        <v>4771</v>
      </c>
      <c r="Y296" t="s">
        <v>4772</v>
      </c>
      <c r="Z296" t="s">
        <v>4773</v>
      </c>
      <c r="AA296" t="s">
        <v>4774</v>
      </c>
      <c r="AB296" t="s">
        <v>4775</v>
      </c>
      <c r="AC296" t="s">
        <v>74</v>
      </c>
      <c r="AD296" t="s">
        <v>74</v>
      </c>
      <c r="AE296" t="s">
        <v>74</v>
      </c>
      <c r="AF296" t="s">
        <v>74</v>
      </c>
      <c r="AG296">
        <v>35</v>
      </c>
      <c r="AH296">
        <v>74</v>
      </c>
      <c r="AI296">
        <v>85</v>
      </c>
      <c r="AJ296">
        <v>0</v>
      </c>
      <c r="AK296">
        <v>24</v>
      </c>
      <c r="AL296" t="s">
        <v>1580</v>
      </c>
      <c r="AM296" t="s">
        <v>256</v>
      </c>
      <c r="AN296" t="s">
        <v>1581</v>
      </c>
      <c r="AO296" t="s">
        <v>4776</v>
      </c>
      <c r="AP296" t="s">
        <v>4777</v>
      </c>
      <c r="AQ296" t="s">
        <v>74</v>
      </c>
      <c r="AR296" t="s">
        <v>4778</v>
      </c>
      <c r="AS296" t="s">
        <v>4779</v>
      </c>
      <c r="AT296" t="s">
        <v>4357</v>
      </c>
      <c r="AU296">
        <v>2005</v>
      </c>
      <c r="AV296">
        <v>56</v>
      </c>
      <c r="AW296">
        <v>414</v>
      </c>
      <c r="AX296" t="s">
        <v>74</v>
      </c>
      <c r="AY296" t="s">
        <v>74</v>
      </c>
      <c r="AZ296" t="s">
        <v>74</v>
      </c>
      <c r="BA296" t="s">
        <v>74</v>
      </c>
      <c r="BB296">
        <v>1189</v>
      </c>
      <c r="BC296">
        <v>1196</v>
      </c>
      <c r="BD296" t="s">
        <v>74</v>
      </c>
      <c r="BE296" t="s">
        <v>4780</v>
      </c>
      <c r="BF296" t="str">
        <f>HYPERLINK("http://dx.doi.org/10.1093/jxb/eri112","http://dx.doi.org/10.1093/jxb/eri112")</f>
        <v>http://dx.doi.org/10.1093/jxb/eri112</v>
      </c>
      <c r="BG296" t="s">
        <v>74</v>
      </c>
      <c r="BH296" t="s">
        <v>74</v>
      </c>
      <c r="BI296">
        <v>8</v>
      </c>
      <c r="BJ296" t="s">
        <v>4781</v>
      </c>
      <c r="BK296" t="s">
        <v>95</v>
      </c>
      <c r="BL296" t="s">
        <v>4781</v>
      </c>
      <c r="BM296" t="s">
        <v>4782</v>
      </c>
      <c r="BN296">
        <v>15723822</v>
      </c>
      <c r="BO296" t="s">
        <v>539</v>
      </c>
      <c r="BP296" t="s">
        <v>74</v>
      </c>
      <c r="BQ296" t="s">
        <v>74</v>
      </c>
      <c r="BR296" t="s">
        <v>97</v>
      </c>
      <c r="BS296" t="s">
        <v>4783</v>
      </c>
      <c r="BT296" t="str">
        <f>HYPERLINK("https%3A%2F%2Fwww.webofscience.com%2Fwos%2Fwoscc%2Ffull-record%2FWOS:000227975900011","View Full Record in Web of Science")</f>
        <v>View Full Record in Web of Science</v>
      </c>
    </row>
    <row r="297" spans="1:72" x14ac:dyDescent="0.15">
      <c r="A297" t="s">
        <v>72</v>
      </c>
      <c r="B297" t="s">
        <v>4784</v>
      </c>
      <c r="C297" t="s">
        <v>74</v>
      </c>
      <c r="D297" t="s">
        <v>74</v>
      </c>
      <c r="E297" t="s">
        <v>74</v>
      </c>
      <c r="F297" t="s">
        <v>4784</v>
      </c>
      <c r="G297" t="s">
        <v>74</v>
      </c>
      <c r="H297" t="s">
        <v>74</v>
      </c>
      <c r="I297" t="s">
        <v>4785</v>
      </c>
      <c r="J297" t="s">
        <v>1923</v>
      </c>
      <c r="K297" t="s">
        <v>74</v>
      </c>
      <c r="L297" t="s">
        <v>74</v>
      </c>
      <c r="M297" t="s">
        <v>77</v>
      </c>
      <c r="N297" t="s">
        <v>78</v>
      </c>
      <c r="O297" t="s">
        <v>74</v>
      </c>
      <c r="P297" t="s">
        <v>74</v>
      </c>
      <c r="Q297" t="s">
        <v>74</v>
      </c>
      <c r="R297" t="s">
        <v>74</v>
      </c>
      <c r="S297" t="s">
        <v>74</v>
      </c>
      <c r="T297" t="s">
        <v>4786</v>
      </c>
      <c r="U297" t="s">
        <v>4787</v>
      </c>
      <c r="V297" t="s">
        <v>4788</v>
      </c>
      <c r="W297" t="s">
        <v>4789</v>
      </c>
      <c r="X297" t="s">
        <v>4790</v>
      </c>
      <c r="Y297" t="s">
        <v>4791</v>
      </c>
      <c r="Z297" t="s">
        <v>4792</v>
      </c>
      <c r="AA297" t="s">
        <v>74</v>
      </c>
      <c r="AB297" t="s">
        <v>74</v>
      </c>
      <c r="AC297" t="s">
        <v>74</v>
      </c>
      <c r="AD297" t="s">
        <v>74</v>
      </c>
      <c r="AE297" t="s">
        <v>74</v>
      </c>
      <c r="AF297" t="s">
        <v>74</v>
      </c>
      <c r="AG297">
        <v>27</v>
      </c>
      <c r="AH297">
        <v>2</v>
      </c>
      <c r="AI297">
        <v>2</v>
      </c>
      <c r="AJ297">
        <v>0</v>
      </c>
      <c r="AK297">
        <v>4</v>
      </c>
      <c r="AL297" t="s">
        <v>133</v>
      </c>
      <c r="AM297" t="s">
        <v>374</v>
      </c>
      <c r="AN297" t="s">
        <v>375</v>
      </c>
      <c r="AO297" t="s">
        <v>1935</v>
      </c>
      <c r="AP297" t="s">
        <v>1936</v>
      </c>
      <c r="AQ297" t="s">
        <v>74</v>
      </c>
      <c r="AR297" t="s">
        <v>1937</v>
      </c>
      <c r="AS297" t="s">
        <v>1938</v>
      </c>
      <c r="AT297" t="s">
        <v>4357</v>
      </c>
      <c r="AU297">
        <v>2005</v>
      </c>
      <c r="AV297">
        <v>61</v>
      </c>
      <c r="AW297">
        <v>2</v>
      </c>
      <c r="AX297" t="s">
        <v>74</v>
      </c>
      <c r="AY297" t="s">
        <v>74</v>
      </c>
      <c r="AZ297" t="s">
        <v>74</v>
      </c>
      <c r="BA297" t="s">
        <v>74</v>
      </c>
      <c r="BB297">
        <v>197</v>
      </c>
      <c r="BC297">
        <v>211</v>
      </c>
      <c r="BD297" t="s">
        <v>74</v>
      </c>
      <c r="BE297" t="s">
        <v>4793</v>
      </c>
      <c r="BF297" t="str">
        <f>HYPERLINK("http://dx.doi.org/10.1007/s10872-005-0032-4","http://dx.doi.org/10.1007/s10872-005-0032-4")</f>
        <v>http://dx.doi.org/10.1007/s10872-005-0032-4</v>
      </c>
      <c r="BG297" t="s">
        <v>74</v>
      </c>
      <c r="BH297" t="s">
        <v>74</v>
      </c>
      <c r="BI297">
        <v>15</v>
      </c>
      <c r="BJ297" t="s">
        <v>632</v>
      </c>
      <c r="BK297" t="s">
        <v>95</v>
      </c>
      <c r="BL297" t="s">
        <v>632</v>
      </c>
      <c r="BM297" t="s">
        <v>4794</v>
      </c>
      <c r="BN297" t="s">
        <v>74</v>
      </c>
      <c r="BO297" t="s">
        <v>74</v>
      </c>
      <c r="BP297" t="s">
        <v>74</v>
      </c>
      <c r="BQ297" t="s">
        <v>74</v>
      </c>
      <c r="BR297" t="s">
        <v>97</v>
      </c>
      <c r="BS297" t="s">
        <v>4795</v>
      </c>
      <c r="BT297" t="str">
        <f>HYPERLINK("https%3A%2F%2Fwww.webofscience.com%2Fwos%2Fwoscc%2Ffull-record%2FWOS:000227339200002","View Full Record in Web of Science")</f>
        <v>View Full Record in Web of Science</v>
      </c>
    </row>
    <row r="298" spans="1:72" x14ac:dyDescent="0.15">
      <c r="A298" t="s">
        <v>72</v>
      </c>
      <c r="B298" t="s">
        <v>4796</v>
      </c>
      <c r="C298" t="s">
        <v>74</v>
      </c>
      <c r="D298" t="s">
        <v>74</v>
      </c>
      <c r="E298" t="s">
        <v>74</v>
      </c>
      <c r="F298" t="s">
        <v>4796</v>
      </c>
      <c r="G298" t="s">
        <v>74</v>
      </c>
      <c r="H298" t="s">
        <v>74</v>
      </c>
      <c r="I298" t="s">
        <v>4797</v>
      </c>
      <c r="J298" t="s">
        <v>4798</v>
      </c>
      <c r="K298" t="s">
        <v>74</v>
      </c>
      <c r="L298" t="s">
        <v>74</v>
      </c>
      <c r="M298" t="s">
        <v>77</v>
      </c>
      <c r="N298" t="s">
        <v>78</v>
      </c>
      <c r="O298" t="s">
        <v>74</v>
      </c>
      <c r="P298" t="s">
        <v>74</v>
      </c>
      <c r="Q298" t="s">
        <v>74</v>
      </c>
      <c r="R298" t="s">
        <v>74</v>
      </c>
      <c r="S298" t="s">
        <v>74</v>
      </c>
      <c r="T298" t="s">
        <v>4799</v>
      </c>
      <c r="U298" t="s">
        <v>4800</v>
      </c>
      <c r="V298" t="s">
        <v>4801</v>
      </c>
      <c r="W298" t="s">
        <v>4802</v>
      </c>
      <c r="X298" t="s">
        <v>4803</v>
      </c>
      <c r="Y298" t="s">
        <v>4804</v>
      </c>
      <c r="Z298" t="s">
        <v>4805</v>
      </c>
      <c r="AA298" t="s">
        <v>4806</v>
      </c>
      <c r="AB298" t="s">
        <v>4807</v>
      </c>
      <c r="AC298" t="s">
        <v>74</v>
      </c>
      <c r="AD298" t="s">
        <v>74</v>
      </c>
      <c r="AE298" t="s">
        <v>74</v>
      </c>
      <c r="AF298" t="s">
        <v>74</v>
      </c>
      <c r="AG298">
        <v>24</v>
      </c>
      <c r="AH298">
        <v>9</v>
      </c>
      <c r="AI298">
        <v>9</v>
      </c>
      <c r="AJ298">
        <v>0</v>
      </c>
      <c r="AK298">
        <v>1</v>
      </c>
      <c r="AL298" t="s">
        <v>4808</v>
      </c>
      <c r="AM298" t="s">
        <v>4809</v>
      </c>
      <c r="AN298" t="s">
        <v>4810</v>
      </c>
      <c r="AO298" t="s">
        <v>4811</v>
      </c>
      <c r="AP298" t="s">
        <v>4812</v>
      </c>
      <c r="AQ298" t="s">
        <v>74</v>
      </c>
      <c r="AR298" t="s">
        <v>4813</v>
      </c>
      <c r="AS298" t="s">
        <v>4814</v>
      </c>
      <c r="AT298" t="s">
        <v>4357</v>
      </c>
      <c r="AU298">
        <v>2005</v>
      </c>
      <c r="AV298">
        <v>7</v>
      </c>
      <c r="AW298">
        <v>2</v>
      </c>
      <c r="AX298" t="s">
        <v>74</v>
      </c>
      <c r="AY298" t="s">
        <v>74</v>
      </c>
      <c r="AZ298" t="s">
        <v>74</v>
      </c>
      <c r="BA298" t="s">
        <v>74</v>
      </c>
      <c r="BB298">
        <v>1091</v>
      </c>
      <c r="BC298">
        <v>1101</v>
      </c>
      <c r="BD298" t="s">
        <v>74</v>
      </c>
      <c r="BE298" t="s">
        <v>74</v>
      </c>
      <c r="BF298" t="s">
        <v>74</v>
      </c>
      <c r="BG298" t="s">
        <v>74</v>
      </c>
      <c r="BH298" t="s">
        <v>74</v>
      </c>
      <c r="BI298">
        <v>11</v>
      </c>
      <c r="BJ298" t="s">
        <v>4815</v>
      </c>
      <c r="BK298" t="s">
        <v>95</v>
      </c>
      <c r="BL298" t="s">
        <v>4816</v>
      </c>
      <c r="BM298" t="s">
        <v>4817</v>
      </c>
      <c r="BN298" t="s">
        <v>74</v>
      </c>
      <c r="BO298" t="s">
        <v>74</v>
      </c>
      <c r="BP298" t="s">
        <v>74</v>
      </c>
      <c r="BQ298" t="s">
        <v>74</v>
      </c>
      <c r="BR298" t="s">
        <v>97</v>
      </c>
      <c r="BS298" t="s">
        <v>4818</v>
      </c>
      <c r="BT298" t="str">
        <f>HYPERLINK("https%3A%2F%2Fwww.webofscience.com%2Fwos%2Fwoscc%2Ffull-record%2FWOS:000228785700079","View Full Record in Web of Science")</f>
        <v>View Full Record in Web of Science</v>
      </c>
    </row>
    <row r="299" spans="1:72" x14ac:dyDescent="0.15">
      <c r="A299" t="s">
        <v>72</v>
      </c>
      <c r="B299" t="s">
        <v>4819</v>
      </c>
      <c r="C299" t="s">
        <v>74</v>
      </c>
      <c r="D299" t="s">
        <v>74</v>
      </c>
      <c r="E299" t="s">
        <v>74</v>
      </c>
      <c r="F299" t="s">
        <v>4819</v>
      </c>
      <c r="G299" t="s">
        <v>74</v>
      </c>
      <c r="H299" t="s">
        <v>74</v>
      </c>
      <c r="I299" t="s">
        <v>4820</v>
      </c>
      <c r="J299" t="s">
        <v>4821</v>
      </c>
      <c r="K299" t="s">
        <v>74</v>
      </c>
      <c r="L299" t="s">
        <v>74</v>
      </c>
      <c r="M299" t="s">
        <v>77</v>
      </c>
      <c r="N299" t="s">
        <v>78</v>
      </c>
      <c r="O299" t="s">
        <v>74</v>
      </c>
      <c r="P299" t="s">
        <v>74</v>
      </c>
      <c r="Q299" t="s">
        <v>74</v>
      </c>
      <c r="R299" t="s">
        <v>74</v>
      </c>
      <c r="S299" t="s">
        <v>74</v>
      </c>
      <c r="T299" t="s">
        <v>4822</v>
      </c>
      <c r="U299" t="s">
        <v>4823</v>
      </c>
      <c r="V299" t="s">
        <v>4824</v>
      </c>
      <c r="W299" t="s">
        <v>4825</v>
      </c>
      <c r="X299" t="s">
        <v>4826</v>
      </c>
      <c r="Y299" t="s">
        <v>4827</v>
      </c>
      <c r="Z299" t="s">
        <v>4828</v>
      </c>
      <c r="AA299" t="s">
        <v>4829</v>
      </c>
      <c r="AB299" t="s">
        <v>4830</v>
      </c>
      <c r="AC299" t="s">
        <v>74</v>
      </c>
      <c r="AD299" t="s">
        <v>74</v>
      </c>
      <c r="AE299" t="s">
        <v>74</v>
      </c>
      <c r="AF299" t="s">
        <v>74</v>
      </c>
      <c r="AG299">
        <v>79</v>
      </c>
      <c r="AH299">
        <v>75</v>
      </c>
      <c r="AI299">
        <v>79</v>
      </c>
      <c r="AJ299">
        <v>1</v>
      </c>
      <c r="AK299">
        <v>4</v>
      </c>
      <c r="AL299" t="s">
        <v>1580</v>
      </c>
      <c r="AM299" t="s">
        <v>256</v>
      </c>
      <c r="AN299" t="s">
        <v>1581</v>
      </c>
      <c r="AO299" t="s">
        <v>4831</v>
      </c>
      <c r="AP299" t="s">
        <v>4832</v>
      </c>
      <c r="AQ299" t="s">
        <v>74</v>
      </c>
      <c r="AR299" t="s">
        <v>4833</v>
      </c>
      <c r="AS299" t="s">
        <v>4834</v>
      </c>
      <c r="AT299" t="s">
        <v>4357</v>
      </c>
      <c r="AU299">
        <v>2005</v>
      </c>
      <c r="AV299">
        <v>46</v>
      </c>
      <c r="AW299">
        <v>4</v>
      </c>
      <c r="AX299" t="s">
        <v>74</v>
      </c>
      <c r="AY299" t="s">
        <v>74</v>
      </c>
      <c r="AZ299" t="s">
        <v>74</v>
      </c>
      <c r="BA299" t="s">
        <v>74</v>
      </c>
      <c r="BB299">
        <v>671</v>
      </c>
      <c r="BC299">
        <v>699</v>
      </c>
      <c r="BD299" t="s">
        <v>74</v>
      </c>
      <c r="BE299" t="s">
        <v>4835</v>
      </c>
      <c r="BF299" t="str">
        <f>HYPERLINK("http://dx.doi.org/10.1093/petrology/egh093","http://dx.doi.org/10.1093/petrology/egh093")</f>
        <v>http://dx.doi.org/10.1093/petrology/egh093</v>
      </c>
      <c r="BG299" t="s">
        <v>74</v>
      </c>
      <c r="BH299" t="s">
        <v>74</v>
      </c>
      <c r="BI299">
        <v>29</v>
      </c>
      <c r="BJ299" t="s">
        <v>381</v>
      </c>
      <c r="BK299" t="s">
        <v>95</v>
      </c>
      <c r="BL299" t="s">
        <v>381</v>
      </c>
      <c r="BM299" t="s">
        <v>4836</v>
      </c>
      <c r="BN299" t="s">
        <v>74</v>
      </c>
      <c r="BO299" t="s">
        <v>539</v>
      </c>
      <c r="BP299" t="s">
        <v>74</v>
      </c>
      <c r="BQ299" t="s">
        <v>74</v>
      </c>
      <c r="BR299" t="s">
        <v>97</v>
      </c>
      <c r="BS299" t="s">
        <v>4837</v>
      </c>
      <c r="BT299" t="str">
        <f>HYPERLINK("https%3A%2F%2Fwww.webofscience.com%2Fwos%2Fwoscc%2Ffull-record%2FWOS:000227770100001","View Full Record in Web of Science")</f>
        <v>View Full Record in Web of Science</v>
      </c>
    </row>
    <row r="300" spans="1:72" x14ac:dyDescent="0.15">
      <c r="A300" t="s">
        <v>72</v>
      </c>
      <c r="B300" t="s">
        <v>4838</v>
      </c>
      <c r="C300" t="s">
        <v>74</v>
      </c>
      <c r="D300" t="s">
        <v>74</v>
      </c>
      <c r="E300" t="s">
        <v>74</v>
      </c>
      <c r="F300" t="s">
        <v>4838</v>
      </c>
      <c r="G300" t="s">
        <v>74</v>
      </c>
      <c r="H300" t="s">
        <v>74</v>
      </c>
      <c r="I300" t="s">
        <v>4839</v>
      </c>
      <c r="J300" t="s">
        <v>1944</v>
      </c>
      <c r="K300" t="s">
        <v>74</v>
      </c>
      <c r="L300" t="s">
        <v>74</v>
      </c>
      <c r="M300" t="s">
        <v>77</v>
      </c>
      <c r="N300" t="s">
        <v>78</v>
      </c>
      <c r="O300" t="s">
        <v>74</v>
      </c>
      <c r="P300" t="s">
        <v>74</v>
      </c>
      <c r="Q300" t="s">
        <v>74</v>
      </c>
      <c r="R300" t="s">
        <v>74</v>
      </c>
      <c r="S300" t="s">
        <v>74</v>
      </c>
      <c r="T300" t="s">
        <v>4840</v>
      </c>
      <c r="U300" t="s">
        <v>4841</v>
      </c>
      <c r="V300" t="s">
        <v>4842</v>
      </c>
      <c r="W300" t="s">
        <v>4843</v>
      </c>
      <c r="X300" t="s">
        <v>4844</v>
      </c>
      <c r="Y300" t="s">
        <v>4845</v>
      </c>
      <c r="Z300" t="s">
        <v>4846</v>
      </c>
      <c r="AA300" t="s">
        <v>4847</v>
      </c>
      <c r="AB300" t="s">
        <v>4848</v>
      </c>
      <c r="AC300" t="s">
        <v>74</v>
      </c>
      <c r="AD300" t="s">
        <v>74</v>
      </c>
      <c r="AE300" t="s">
        <v>74</v>
      </c>
      <c r="AF300" t="s">
        <v>74</v>
      </c>
      <c r="AG300">
        <v>69</v>
      </c>
      <c r="AH300">
        <v>181</v>
      </c>
      <c r="AI300">
        <v>207</v>
      </c>
      <c r="AJ300">
        <v>0</v>
      </c>
      <c r="AK300">
        <v>67</v>
      </c>
      <c r="AL300" t="s">
        <v>472</v>
      </c>
      <c r="AM300" t="s">
        <v>473</v>
      </c>
      <c r="AN300" t="s">
        <v>474</v>
      </c>
      <c r="AO300" t="s">
        <v>1954</v>
      </c>
      <c r="AP300" t="s">
        <v>1955</v>
      </c>
      <c r="AQ300" t="s">
        <v>74</v>
      </c>
      <c r="AR300" t="s">
        <v>1956</v>
      </c>
      <c r="AS300" t="s">
        <v>1957</v>
      </c>
      <c r="AT300" t="s">
        <v>4357</v>
      </c>
      <c r="AU300">
        <v>2005</v>
      </c>
      <c r="AV300">
        <v>41</v>
      </c>
      <c r="AW300">
        <v>2</v>
      </c>
      <c r="AX300" t="s">
        <v>74</v>
      </c>
      <c r="AY300" t="s">
        <v>74</v>
      </c>
      <c r="AZ300" t="s">
        <v>74</v>
      </c>
      <c r="BA300" t="s">
        <v>74</v>
      </c>
      <c r="BB300">
        <v>421</v>
      </c>
      <c r="BC300">
        <v>438</v>
      </c>
      <c r="BD300" t="s">
        <v>74</v>
      </c>
      <c r="BE300" t="s">
        <v>4849</v>
      </c>
      <c r="BF300" t="str">
        <f>HYPERLINK("http://dx.doi.org/10.1111/j.1529-8817.2005.04062.x","http://dx.doi.org/10.1111/j.1529-8817.2005.04062.x")</f>
        <v>http://dx.doi.org/10.1111/j.1529-8817.2005.04062.x</v>
      </c>
      <c r="BG300" t="s">
        <v>74</v>
      </c>
      <c r="BH300" t="s">
        <v>74</v>
      </c>
      <c r="BI300">
        <v>18</v>
      </c>
      <c r="BJ300" t="s">
        <v>94</v>
      </c>
      <c r="BK300" t="s">
        <v>95</v>
      </c>
      <c r="BL300" t="s">
        <v>94</v>
      </c>
      <c r="BM300" t="s">
        <v>4850</v>
      </c>
      <c r="BN300" t="s">
        <v>74</v>
      </c>
      <c r="BO300" t="s">
        <v>74</v>
      </c>
      <c r="BP300" t="s">
        <v>74</v>
      </c>
      <c r="BQ300" t="s">
        <v>74</v>
      </c>
      <c r="BR300" t="s">
        <v>97</v>
      </c>
      <c r="BS300" t="s">
        <v>4851</v>
      </c>
      <c r="BT300" t="str">
        <f>HYPERLINK("https%3A%2F%2Fwww.webofscience.com%2Fwos%2Fwoscc%2Ffull-record%2FWOS:000227859400020","View Full Record in Web of Science")</f>
        <v>View Full Record in Web of Science</v>
      </c>
    </row>
    <row r="301" spans="1:72" x14ac:dyDescent="0.15">
      <c r="A301" t="s">
        <v>72</v>
      </c>
      <c r="B301" t="s">
        <v>4852</v>
      </c>
      <c r="C301" t="s">
        <v>74</v>
      </c>
      <c r="D301" t="s">
        <v>74</v>
      </c>
      <c r="E301" t="s">
        <v>74</v>
      </c>
      <c r="F301" t="s">
        <v>4852</v>
      </c>
      <c r="G301" t="s">
        <v>74</v>
      </c>
      <c r="H301" t="s">
        <v>74</v>
      </c>
      <c r="I301" t="s">
        <v>4853</v>
      </c>
      <c r="J301" t="s">
        <v>4854</v>
      </c>
      <c r="K301" t="s">
        <v>74</v>
      </c>
      <c r="L301" t="s">
        <v>74</v>
      </c>
      <c r="M301" t="s">
        <v>77</v>
      </c>
      <c r="N301" t="s">
        <v>78</v>
      </c>
      <c r="O301" t="s">
        <v>74</v>
      </c>
      <c r="P301" t="s">
        <v>74</v>
      </c>
      <c r="Q301" t="s">
        <v>74</v>
      </c>
      <c r="R301" t="s">
        <v>74</v>
      </c>
      <c r="S301" t="s">
        <v>74</v>
      </c>
      <c r="T301" t="s">
        <v>74</v>
      </c>
      <c r="U301" t="s">
        <v>4855</v>
      </c>
      <c r="V301" t="s">
        <v>4856</v>
      </c>
      <c r="W301" t="s">
        <v>4857</v>
      </c>
      <c r="X301" t="s">
        <v>4858</v>
      </c>
      <c r="Y301" t="s">
        <v>4859</v>
      </c>
      <c r="Z301" t="s">
        <v>4860</v>
      </c>
      <c r="AA301" t="s">
        <v>4861</v>
      </c>
      <c r="AB301" t="s">
        <v>4862</v>
      </c>
      <c r="AC301" t="s">
        <v>74</v>
      </c>
      <c r="AD301" t="s">
        <v>74</v>
      </c>
      <c r="AE301" t="s">
        <v>74</v>
      </c>
      <c r="AF301" t="s">
        <v>74</v>
      </c>
      <c r="AG301">
        <v>43</v>
      </c>
      <c r="AH301">
        <v>22</v>
      </c>
      <c r="AI301">
        <v>25</v>
      </c>
      <c r="AJ301">
        <v>0</v>
      </c>
      <c r="AK301">
        <v>6</v>
      </c>
      <c r="AL301" t="s">
        <v>902</v>
      </c>
      <c r="AM301" t="s">
        <v>903</v>
      </c>
      <c r="AN301" t="s">
        <v>922</v>
      </c>
      <c r="AO301" t="s">
        <v>4863</v>
      </c>
      <c r="AP301" t="s">
        <v>74</v>
      </c>
      <c r="AQ301" t="s">
        <v>74</v>
      </c>
      <c r="AR301" t="s">
        <v>4864</v>
      </c>
      <c r="AS301" t="s">
        <v>4865</v>
      </c>
      <c r="AT301" t="s">
        <v>4357</v>
      </c>
      <c r="AU301">
        <v>2005</v>
      </c>
      <c r="AV301">
        <v>62</v>
      </c>
      <c r="AW301">
        <v>4</v>
      </c>
      <c r="AX301" t="s">
        <v>74</v>
      </c>
      <c r="AY301" t="s">
        <v>74</v>
      </c>
      <c r="AZ301" t="s">
        <v>74</v>
      </c>
      <c r="BA301" t="s">
        <v>74</v>
      </c>
      <c r="BB301">
        <v>1192</v>
      </c>
      <c r="BC301">
        <v>1208</v>
      </c>
      <c r="BD301" t="s">
        <v>74</v>
      </c>
      <c r="BE301" t="s">
        <v>4866</v>
      </c>
      <c r="BF301" t="str">
        <f>HYPERLINK("http://dx.doi.org/10.1175/JAS3394.1","http://dx.doi.org/10.1175/JAS3394.1")</f>
        <v>http://dx.doi.org/10.1175/JAS3394.1</v>
      </c>
      <c r="BG301" t="s">
        <v>74</v>
      </c>
      <c r="BH301" t="s">
        <v>74</v>
      </c>
      <c r="BI301">
        <v>17</v>
      </c>
      <c r="BJ301" t="s">
        <v>401</v>
      </c>
      <c r="BK301" t="s">
        <v>95</v>
      </c>
      <c r="BL301" t="s">
        <v>401</v>
      </c>
      <c r="BM301" t="s">
        <v>4867</v>
      </c>
      <c r="BN301" t="s">
        <v>74</v>
      </c>
      <c r="BO301" t="s">
        <v>1776</v>
      </c>
      <c r="BP301" t="s">
        <v>74</v>
      </c>
      <c r="BQ301" t="s">
        <v>74</v>
      </c>
      <c r="BR301" t="s">
        <v>97</v>
      </c>
      <c r="BS301" t="s">
        <v>4868</v>
      </c>
      <c r="BT301" t="str">
        <f>HYPERLINK("https%3A%2F%2Fwww.webofscience.com%2Fwos%2Fwoscc%2Ffull-record%2FWOS:000228525000017","View Full Record in Web of Science")</f>
        <v>View Full Record in Web of Science</v>
      </c>
    </row>
    <row r="302" spans="1:72" x14ac:dyDescent="0.15">
      <c r="A302" t="s">
        <v>72</v>
      </c>
      <c r="B302" t="s">
        <v>4869</v>
      </c>
      <c r="C302" t="s">
        <v>74</v>
      </c>
      <c r="D302" t="s">
        <v>74</v>
      </c>
      <c r="E302" t="s">
        <v>74</v>
      </c>
      <c r="F302" t="s">
        <v>4869</v>
      </c>
      <c r="G302" t="s">
        <v>74</v>
      </c>
      <c r="H302" t="s">
        <v>74</v>
      </c>
      <c r="I302" t="s">
        <v>4870</v>
      </c>
      <c r="J302" t="s">
        <v>4871</v>
      </c>
      <c r="K302" t="s">
        <v>74</v>
      </c>
      <c r="L302" t="s">
        <v>74</v>
      </c>
      <c r="M302" t="s">
        <v>77</v>
      </c>
      <c r="N302" t="s">
        <v>78</v>
      </c>
      <c r="O302" t="s">
        <v>74</v>
      </c>
      <c r="P302" t="s">
        <v>74</v>
      </c>
      <c r="Q302" t="s">
        <v>74</v>
      </c>
      <c r="R302" t="s">
        <v>74</v>
      </c>
      <c r="S302" t="s">
        <v>74</v>
      </c>
      <c r="T302" t="s">
        <v>74</v>
      </c>
      <c r="U302" t="s">
        <v>4872</v>
      </c>
      <c r="V302" t="s">
        <v>4873</v>
      </c>
      <c r="W302" t="s">
        <v>4874</v>
      </c>
      <c r="X302" t="s">
        <v>4875</v>
      </c>
      <c r="Y302" t="s">
        <v>4876</v>
      </c>
      <c r="Z302" t="s">
        <v>4877</v>
      </c>
      <c r="AA302" t="s">
        <v>4878</v>
      </c>
      <c r="AB302" t="s">
        <v>4879</v>
      </c>
      <c r="AC302" t="s">
        <v>74</v>
      </c>
      <c r="AD302" t="s">
        <v>74</v>
      </c>
      <c r="AE302" t="s">
        <v>74</v>
      </c>
      <c r="AF302" t="s">
        <v>74</v>
      </c>
      <c r="AG302">
        <v>20</v>
      </c>
      <c r="AH302">
        <v>58</v>
      </c>
      <c r="AI302">
        <v>64</v>
      </c>
      <c r="AJ302">
        <v>0</v>
      </c>
      <c r="AK302">
        <v>14</v>
      </c>
      <c r="AL302" t="s">
        <v>212</v>
      </c>
      <c r="AM302" t="s">
        <v>134</v>
      </c>
      <c r="AN302" t="s">
        <v>236</v>
      </c>
      <c r="AO302" t="s">
        <v>4880</v>
      </c>
      <c r="AP302" t="s">
        <v>74</v>
      </c>
      <c r="AQ302" t="s">
        <v>74</v>
      </c>
      <c r="AR302" t="s">
        <v>4881</v>
      </c>
      <c r="AS302" t="s">
        <v>4882</v>
      </c>
      <c r="AT302" t="s">
        <v>4357</v>
      </c>
      <c r="AU302">
        <v>2005</v>
      </c>
      <c r="AV302">
        <v>85</v>
      </c>
      <c r="AW302">
        <v>2</v>
      </c>
      <c r="AX302" t="s">
        <v>74</v>
      </c>
      <c r="AY302" t="s">
        <v>74</v>
      </c>
      <c r="AZ302" t="s">
        <v>74</v>
      </c>
      <c r="BA302" t="s">
        <v>74</v>
      </c>
      <c r="BB302">
        <v>233</v>
      </c>
      <c r="BC302">
        <v>245</v>
      </c>
      <c r="BD302" t="s">
        <v>74</v>
      </c>
      <c r="BE302" t="s">
        <v>4883</v>
      </c>
      <c r="BF302" t="str">
        <f>HYPERLINK("http://dx.doi.org/10.1017/S0025315405011112h","http://dx.doi.org/10.1017/S0025315405011112h")</f>
        <v>http://dx.doi.org/10.1017/S0025315405011112h</v>
      </c>
      <c r="BG302" t="s">
        <v>74</v>
      </c>
      <c r="BH302" t="s">
        <v>74</v>
      </c>
      <c r="BI302">
        <v>13</v>
      </c>
      <c r="BJ302" t="s">
        <v>2011</v>
      </c>
      <c r="BK302" t="s">
        <v>95</v>
      </c>
      <c r="BL302" t="s">
        <v>2011</v>
      </c>
      <c r="BM302" t="s">
        <v>4884</v>
      </c>
      <c r="BN302" t="s">
        <v>74</v>
      </c>
      <c r="BO302" t="s">
        <v>74</v>
      </c>
      <c r="BP302" t="s">
        <v>74</v>
      </c>
      <c r="BQ302" t="s">
        <v>74</v>
      </c>
      <c r="BR302" t="s">
        <v>97</v>
      </c>
      <c r="BS302" t="s">
        <v>4885</v>
      </c>
      <c r="BT302" t="str">
        <f>HYPERLINK("https%3A%2F%2Fwww.webofscience.com%2Fwos%2Fwoscc%2Ffull-record%2FWOS:000228925500002","View Full Record in Web of Science")</f>
        <v>View Full Record in Web of Science</v>
      </c>
    </row>
    <row r="303" spans="1:72" x14ac:dyDescent="0.15">
      <c r="A303" t="s">
        <v>72</v>
      </c>
      <c r="B303" t="s">
        <v>4886</v>
      </c>
      <c r="C303" t="s">
        <v>74</v>
      </c>
      <c r="D303" t="s">
        <v>74</v>
      </c>
      <c r="E303" t="s">
        <v>74</v>
      </c>
      <c r="F303" t="s">
        <v>4886</v>
      </c>
      <c r="G303" t="s">
        <v>74</v>
      </c>
      <c r="H303" t="s">
        <v>74</v>
      </c>
      <c r="I303" t="s">
        <v>4887</v>
      </c>
      <c r="J303" t="s">
        <v>4871</v>
      </c>
      <c r="K303" t="s">
        <v>74</v>
      </c>
      <c r="L303" t="s">
        <v>74</v>
      </c>
      <c r="M303" t="s">
        <v>77</v>
      </c>
      <c r="N303" t="s">
        <v>78</v>
      </c>
      <c r="O303" t="s">
        <v>74</v>
      </c>
      <c r="P303" t="s">
        <v>74</v>
      </c>
      <c r="Q303" t="s">
        <v>74</v>
      </c>
      <c r="R303" t="s">
        <v>74</v>
      </c>
      <c r="S303" t="s">
        <v>74</v>
      </c>
      <c r="T303" t="s">
        <v>74</v>
      </c>
      <c r="U303" t="s">
        <v>4888</v>
      </c>
      <c r="V303" t="s">
        <v>4889</v>
      </c>
      <c r="W303" t="s">
        <v>4890</v>
      </c>
      <c r="X303" t="s">
        <v>4891</v>
      </c>
      <c r="Y303" t="s">
        <v>4892</v>
      </c>
      <c r="Z303" t="s">
        <v>4893</v>
      </c>
      <c r="AA303" t="s">
        <v>4894</v>
      </c>
      <c r="AB303" t="s">
        <v>2523</v>
      </c>
      <c r="AC303" t="s">
        <v>74</v>
      </c>
      <c r="AD303" t="s">
        <v>74</v>
      </c>
      <c r="AE303" t="s">
        <v>74</v>
      </c>
      <c r="AF303" t="s">
        <v>74</v>
      </c>
      <c r="AG303">
        <v>33</v>
      </c>
      <c r="AH303">
        <v>26</v>
      </c>
      <c r="AI303">
        <v>34</v>
      </c>
      <c r="AJ303">
        <v>0</v>
      </c>
      <c r="AK303">
        <v>9</v>
      </c>
      <c r="AL303" t="s">
        <v>212</v>
      </c>
      <c r="AM303" t="s">
        <v>134</v>
      </c>
      <c r="AN303" t="s">
        <v>236</v>
      </c>
      <c r="AO303" t="s">
        <v>4880</v>
      </c>
      <c r="AP303" t="s">
        <v>4895</v>
      </c>
      <c r="AQ303" t="s">
        <v>74</v>
      </c>
      <c r="AR303" t="s">
        <v>4881</v>
      </c>
      <c r="AS303" t="s">
        <v>4882</v>
      </c>
      <c r="AT303" t="s">
        <v>4357</v>
      </c>
      <c r="AU303">
        <v>2005</v>
      </c>
      <c r="AV303">
        <v>85</v>
      </c>
      <c r="AW303">
        <v>2</v>
      </c>
      <c r="AX303" t="s">
        <v>74</v>
      </c>
      <c r="AY303" t="s">
        <v>74</v>
      </c>
      <c r="AZ303" t="s">
        <v>74</v>
      </c>
      <c r="BA303" t="s">
        <v>74</v>
      </c>
      <c r="BB303">
        <v>283</v>
      </c>
      <c r="BC303">
        <v>289</v>
      </c>
      <c r="BD303" t="s">
        <v>74</v>
      </c>
      <c r="BE303" t="s">
        <v>4896</v>
      </c>
      <c r="BF303" t="str">
        <f>HYPERLINK("http://dx.doi.org/10.1017/S0025315405011173h","http://dx.doi.org/10.1017/S0025315405011173h")</f>
        <v>http://dx.doi.org/10.1017/S0025315405011173h</v>
      </c>
      <c r="BG303" t="s">
        <v>74</v>
      </c>
      <c r="BH303" t="s">
        <v>74</v>
      </c>
      <c r="BI303">
        <v>7</v>
      </c>
      <c r="BJ303" t="s">
        <v>2011</v>
      </c>
      <c r="BK303" t="s">
        <v>95</v>
      </c>
      <c r="BL303" t="s">
        <v>2011</v>
      </c>
      <c r="BM303" t="s">
        <v>4884</v>
      </c>
      <c r="BN303" t="s">
        <v>74</v>
      </c>
      <c r="BO303" t="s">
        <v>74</v>
      </c>
      <c r="BP303" t="s">
        <v>74</v>
      </c>
      <c r="BQ303" t="s">
        <v>74</v>
      </c>
      <c r="BR303" t="s">
        <v>97</v>
      </c>
      <c r="BS303" t="s">
        <v>4897</v>
      </c>
      <c r="BT303" t="str">
        <f>HYPERLINK("https%3A%2F%2Fwww.webofscience.com%2Fwos%2Fwoscc%2Ffull-record%2FWOS:000228925500008","View Full Record in Web of Science")</f>
        <v>View Full Record in Web of Science</v>
      </c>
    </row>
    <row r="304" spans="1:72" x14ac:dyDescent="0.15">
      <c r="A304" t="s">
        <v>72</v>
      </c>
      <c r="B304" t="s">
        <v>4898</v>
      </c>
      <c r="C304" t="s">
        <v>74</v>
      </c>
      <c r="D304" t="s">
        <v>74</v>
      </c>
      <c r="E304" t="s">
        <v>74</v>
      </c>
      <c r="F304" t="s">
        <v>4898</v>
      </c>
      <c r="G304" t="s">
        <v>74</v>
      </c>
      <c r="H304" t="s">
        <v>74</v>
      </c>
      <c r="I304" t="s">
        <v>4899</v>
      </c>
      <c r="J304" t="s">
        <v>1999</v>
      </c>
      <c r="K304" t="s">
        <v>74</v>
      </c>
      <c r="L304" t="s">
        <v>74</v>
      </c>
      <c r="M304" t="s">
        <v>77</v>
      </c>
      <c r="N304" t="s">
        <v>78</v>
      </c>
      <c r="O304" t="s">
        <v>74</v>
      </c>
      <c r="P304" t="s">
        <v>74</v>
      </c>
      <c r="Q304" t="s">
        <v>74</v>
      </c>
      <c r="R304" t="s">
        <v>74</v>
      </c>
      <c r="S304" t="s">
        <v>74</v>
      </c>
      <c r="T304" t="s">
        <v>74</v>
      </c>
      <c r="U304" t="s">
        <v>4900</v>
      </c>
      <c r="V304" t="s">
        <v>4901</v>
      </c>
      <c r="W304" t="s">
        <v>4902</v>
      </c>
      <c r="X304" t="s">
        <v>4903</v>
      </c>
      <c r="Y304" t="s">
        <v>4904</v>
      </c>
      <c r="Z304" t="s">
        <v>4905</v>
      </c>
      <c r="AA304" t="s">
        <v>4906</v>
      </c>
      <c r="AB304" t="s">
        <v>4907</v>
      </c>
      <c r="AC304" t="s">
        <v>74</v>
      </c>
      <c r="AD304" t="s">
        <v>74</v>
      </c>
      <c r="AE304" t="s">
        <v>74</v>
      </c>
      <c r="AF304" t="s">
        <v>74</v>
      </c>
      <c r="AG304">
        <v>33</v>
      </c>
      <c r="AH304">
        <v>10</v>
      </c>
      <c r="AI304">
        <v>12</v>
      </c>
      <c r="AJ304">
        <v>0</v>
      </c>
      <c r="AK304">
        <v>7</v>
      </c>
      <c r="AL304" t="s">
        <v>133</v>
      </c>
      <c r="AM304" t="s">
        <v>134</v>
      </c>
      <c r="AN304" t="s">
        <v>135</v>
      </c>
      <c r="AO304" t="s">
        <v>2007</v>
      </c>
      <c r="AP304" t="s">
        <v>74</v>
      </c>
      <c r="AQ304" t="s">
        <v>74</v>
      </c>
      <c r="AR304" t="s">
        <v>2008</v>
      </c>
      <c r="AS304" t="s">
        <v>2009</v>
      </c>
      <c r="AT304" t="s">
        <v>4357</v>
      </c>
      <c r="AU304">
        <v>2005</v>
      </c>
      <c r="AV304">
        <v>146</v>
      </c>
      <c r="AW304">
        <v>5</v>
      </c>
      <c r="AX304" t="s">
        <v>74</v>
      </c>
      <c r="AY304" t="s">
        <v>74</v>
      </c>
      <c r="AZ304" t="s">
        <v>74</v>
      </c>
      <c r="BA304" t="s">
        <v>74</v>
      </c>
      <c r="BB304">
        <v>975</v>
      </c>
      <c r="BC304">
        <v>983</v>
      </c>
      <c r="BD304" t="s">
        <v>74</v>
      </c>
      <c r="BE304" t="s">
        <v>4908</v>
      </c>
      <c r="BF304" t="str">
        <f>HYPERLINK("http://dx.doi.org/10.1007/s00227-004-1491-7","http://dx.doi.org/10.1007/s00227-004-1491-7")</f>
        <v>http://dx.doi.org/10.1007/s00227-004-1491-7</v>
      </c>
      <c r="BG304" t="s">
        <v>74</v>
      </c>
      <c r="BH304" t="s">
        <v>74</v>
      </c>
      <c r="BI304">
        <v>9</v>
      </c>
      <c r="BJ304" t="s">
        <v>2011</v>
      </c>
      <c r="BK304" t="s">
        <v>95</v>
      </c>
      <c r="BL304" t="s">
        <v>2011</v>
      </c>
      <c r="BM304" t="s">
        <v>4909</v>
      </c>
      <c r="BN304" t="s">
        <v>74</v>
      </c>
      <c r="BO304" t="s">
        <v>74</v>
      </c>
      <c r="BP304" t="s">
        <v>74</v>
      </c>
      <c r="BQ304" t="s">
        <v>74</v>
      </c>
      <c r="BR304" t="s">
        <v>97</v>
      </c>
      <c r="BS304" t="s">
        <v>4910</v>
      </c>
      <c r="BT304" t="str">
        <f>HYPERLINK("https%3A%2F%2Fwww.webofscience.com%2Fwos%2Fwoscc%2Ffull-record%2FWOS:000228233100016","View Full Record in Web of Science")</f>
        <v>View Full Record in Web of Science</v>
      </c>
    </row>
    <row r="305" spans="1:72" x14ac:dyDescent="0.15">
      <c r="A305" t="s">
        <v>72</v>
      </c>
      <c r="B305" t="s">
        <v>4911</v>
      </c>
      <c r="C305" t="s">
        <v>74</v>
      </c>
      <c r="D305" t="s">
        <v>74</v>
      </c>
      <c r="E305" t="s">
        <v>74</v>
      </c>
      <c r="F305" t="s">
        <v>4911</v>
      </c>
      <c r="G305" t="s">
        <v>74</v>
      </c>
      <c r="H305" t="s">
        <v>74</v>
      </c>
      <c r="I305" t="s">
        <v>4912</v>
      </c>
      <c r="J305" t="s">
        <v>1999</v>
      </c>
      <c r="K305" t="s">
        <v>74</v>
      </c>
      <c r="L305" t="s">
        <v>74</v>
      </c>
      <c r="M305" t="s">
        <v>77</v>
      </c>
      <c r="N305" t="s">
        <v>78</v>
      </c>
      <c r="O305" t="s">
        <v>74</v>
      </c>
      <c r="P305" t="s">
        <v>74</v>
      </c>
      <c r="Q305" t="s">
        <v>74</v>
      </c>
      <c r="R305" t="s">
        <v>74</v>
      </c>
      <c r="S305" t="s">
        <v>74</v>
      </c>
      <c r="T305" t="s">
        <v>74</v>
      </c>
      <c r="U305" t="s">
        <v>4913</v>
      </c>
      <c r="V305" t="s">
        <v>4914</v>
      </c>
      <c r="W305" t="s">
        <v>4915</v>
      </c>
      <c r="X305" t="s">
        <v>74</v>
      </c>
      <c r="Y305" t="s">
        <v>4916</v>
      </c>
      <c r="Z305" t="s">
        <v>4917</v>
      </c>
      <c r="AA305" t="s">
        <v>74</v>
      </c>
      <c r="AB305" t="s">
        <v>74</v>
      </c>
      <c r="AC305" t="s">
        <v>74</v>
      </c>
      <c r="AD305" t="s">
        <v>74</v>
      </c>
      <c r="AE305" t="s">
        <v>74</v>
      </c>
      <c r="AF305" t="s">
        <v>74</v>
      </c>
      <c r="AG305">
        <v>52</v>
      </c>
      <c r="AH305">
        <v>34</v>
      </c>
      <c r="AI305">
        <v>36</v>
      </c>
      <c r="AJ305">
        <v>0</v>
      </c>
      <c r="AK305">
        <v>16</v>
      </c>
      <c r="AL305" t="s">
        <v>1789</v>
      </c>
      <c r="AM305" t="s">
        <v>1790</v>
      </c>
      <c r="AN305" t="s">
        <v>1791</v>
      </c>
      <c r="AO305" t="s">
        <v>2007</v>
      </c>
      <c r="AP305" t="s">
        <v>2021</v>
      </c>
      <c r="AQ305" t="s">
        <v>74</v>
      </c>
      <c r="AR305" t="s">
        <v>2008</v>
      </c>
      <c r="AS305" t="s">
        <v>2009</v>
      </c>
      <c r="AT305" t="s">
        <v>4357</v>
      </c>
      <c r="AU305">
        <v>2005</v>
      </c>
      <c r="AV305">
        <v>146</v>
      </c>
      <c r="AW305">
        <v>6</v>
      </c>
      <c r="AX305" t="s">
        <v>74</v>
      </c>
      <c r="AY305" t="s">
        <v>74</v>
      </c>
      <c r="AZ305" t="s">
        <v>74</v>
      </c>
      <c r="BA305" t="s">
        <v>74</v>
      </c>
      <c r="BB305">
        <v>1091</v>
      </c>
      <c r="BC305">
        <v>1102</v>
      </c>
      <c r="BD305" t="s">
        <v>74</v>
      </c>
      <c r="BE305" t="s">
        <v>4918</v>
      </c>
      <c r="BF305" t="str">
        <f>HYPERLINK("http://dx.doi.org/10.1007/s00227-004-1511-7","http://dx.doi.org/10.1007/s00227-004-1511-7")</f>
        <v>http://dx.doi.org/10.1007/s00227-004-1511-7</v>
      </c>
      <c r="BG305" t="s">
        <v>74</v>
      </c>
      <c r="BH305" t="s">
        <v>74</v>
      </c>
      <c r="BI305">
        <v>12</v>
      </c>
      <c r="BJ305" t="s">
        <v>2011</v>
      </c>
      <c r="BK305" t="s">
        <v>95</v>
      </c>
      <c r="BL305" t="s">
        <v>2011</v>
      </c>
      <c r="BM305" t="s">
        <v>4919</v>
      </c>
      <c r="BN305" t="s">
        <v>74</v>
      </c>
      <c r="BO305" t="s">
        <v>74</v>
      </c>
      <c r="BP305" t="s">
        <v>74</v>
      </c>
      <c r="BQ305" t="s">
        <v>74</v>
      </c>
      <c r="BR305" t="s">
        <v>97</v>
      </c>
      <c r="BS305" t="s">
        <v>4920</v>
      </c>
      <c r="BT305" t="str">
        <f>HYPERLINK("https%3A%2F%2Fwww.webofscience.com%2Fwos%2Fwoscc%2Ffull-record%2FWOS:000228638600005","View Full Record in Web of Science")</f>
        <v>View Full Record in Web of Science</v>
      </c>
    </row>
    <row r="306" spans="1:72" x14ac:dyDescent="0.15">
      <c r="A306" t="s">
        <v>72</v>
      </c>
      <c r="B306" t="s">
        <v>4921</v>
      </c>
      <c r="C306" t="s">
        <v>74</v>
      </c>
      <c r="D306" t="s">
        <v>74</v>
      </c>
      <c r="E306" t="s">
        <v>74</v>
      </c>
      <c r="F306" t="s">
        <v>4921</v>
      </c>
      <c r="G306" t="s">
        <v>74</v>
      </c>
      <c r="H306" t="s">
        <v>74</v>
      </c>
      <c r="I306" t="s">
        <v>4922</v>
      </c>
      <c r="J306" t="s">
        <v>1999</v>
      </c>
      <c r="K306" t="s">
        <v>74</v>
      </c>
      <c r="L306" t="s">
        <v>74</v>
      </c>
      <c r="M306" t="s">
        <v>77</v>
      </c>
      <c r="N306" t="s">
        <v>78</v>
      </c>
      <c r="O306" t="s">
        <v>74</v>
      </c>
      <c r="P306" t="s">
        <v>74</v>
      </c>
      <c r="Q306" t="s">
        <v>74</v>
      </c>
      <c r="R306" t="s">
        <v>74</v>
      </c>
      <c r="S306" t="s">
        <v>74</v>
      </c>
      <c r="T306" t="s">
        <v>74</v>
      </c>
      <c r="U306" t="s">
        <v>4923</v>
      </c>
      <c r="V306" t="s">
        <v>4924</v>
      </c>
      <c r="W306" t="s">
        <v>4925</v>
      </c>
      <c r="X306" t="s">
        <v>4926</v>
      </c>
      <c r="Y306" t="s">
        <v>4927</v>
      </c>
      <c r="Z306" t="s">
        <v>4928</v>
      </c>
      <c r="AA306" t="s">
        <v>74</v>
      </c>
      <c r="AB306" t="s">
        <v>4929</v>
      </c>
      <c r="AC306" t="s">
        <v>74</v>
      </c>
      <c r="AD306" t="s">
        <v>74</v>
      </c>
      <c r="AE306" t="s">
        <v>74</v>
      </c>
      <c r="AF306" t="s">
        <v>74</v>
      </c>
      <c r="AG306">
        <v>23</v>
      </c>
      <c r="AH306">
        <v>35</v>
      </c>
      <c r="AI306">
        <v>47</v>
      </c>
      <c r="AJ306">
        <v>0</v>
      </c>
      <c r="AK306">
        <v>8</v>
      </c>
      <c r="AL306" t="s">
        <v>133</v>
      </c>
      <c r="AM306" t="s">
        <v>134</v>
      </c>
      <c r="AN306" t="s">
        <v>135</v>
      </c>
      <c r="AO306" t="s">
        <v>2007</v>
      </c>
      <c r="AP306" t="s">
        <v>74</v>
      </c>
      <c r="AQ306" t="s">
        <v>74</v>
      </c>
      <c r="AR306" t="s">
        <v>2008</v>
      </c>
      <c r="AS306" t="s">
        <v>2009</v>
      </c>
      <c r="AT306" t="s">
        <v>4357</v>
      </c>
      <c r="AU306">
        <v>2005</v>
      </c>
      <c r="AV306">
        <v>146</v>
      </c>
      <c r="AW306">
        <v>6</v>
      </c>
      <c r="AX306" t="s">
        <v>74</v>
      </c>
      <c r="AY306" t="s">
        <v>74</v>
      </c>
      <c r="AZ306" t="s">
        <v>74</v>
      </c>
      <c r="BA306" t="s">
        <v>74</v>
      </c>
      <c r="BB306">
        <v>1169</v>
      </c>
      <c r="BC306">
        <v>1175</v>
      </c>
      <c r="BD306" t="s">
        <v>74</v>
      </c>
      <c r="BE306" t="s">
        <v>4930</v>
      </c>
      <c r="BF306" t="str">
        <f>HYPERLINK("http://dx.doi.org/10.1007/s00227-004-1519-z","http://dx.doi.org/10.1007/s00227-004-1519-z")</f>
        <v>http://dx.doi.org/10.1007/s00227-004-1519-z</v>
      </c>
      <c r="BG306" t="s">
        <v>74</v>
      </c>
      <c r="BH306" t="s">
        <v>74</v>
      </c>
      <c r="BI306">
        <v>7</v>
      </c>
      <c r="BJ306" t="s">
        <v>2011</v>
      </c>
      <c r="BK306" t="s">
        <v>95</v>
      </c>
      <c r="BL306" t="s">
        <v>2011</v>
      </c>
      <c r="BM306" t="s">
        <v>4919</v>
      </c>
      <c r="BN306" t="s">
        <v>74</v>
      </c>
      <c r="BO306" t="s">
        <v>3116</v>
      </c>
      <c r="BP306" t="s">
        <v>74</v>
      </c>
      <c r="BQ306" t="s">
        <v>74</v>
      </c>
      <c r="BR306" t="s">
        <v>97</v>
      </c>
      <c r="BS306" t="s">
        <v>4931</v>
      </c>
      <c r="BT306" t="str">
        <f>HYPERLINK("https%3A%2F%2Fwww.webofscience.com%2Fwos%2Fwoscc%2Ffull-record%2FWOS:000228638600013","View Full Record in Web of Science")</f>
        <v>View Full Record in Web of Science</v>
      </c>
    </row>
    <row r="307" spans="1:72" x14ac:dyDescent="0.15">
      <c r="A307" t="s">
        <v>72</v>
      </c>
      <c r="B307" t="s">
        <v>4932</v>
      </c>
      <c r="C307" t="s">
        <v>74</v>
      </c>
      <c r="D307" t="s">
        <v>74</v>
      </c>
      <c r="E307" t="s">
        <v>74</v>
      </c>
      <c r="F307" t="s">
        <v>4932</v>
      </c>
      <c r="G307" t="s">
        <v>74</v>
      </c>
      <c r="H307" t="s">
        <v>74</v>
      </c>
      <c r="I307" t="s">
        <v>4933</v>
      </c>
      <c r="J307" t="s">
        <v>1999</v>
      </c>
      <c r="K307" t="s">
        <v>74</v>
      </c>
      <c r="L307" t="s">
        <v>74</v>
      </c>
      <c r="M307" t="s">
        <v>77</v>
      </c>
      <c r="N307" t="s">
        <v>78</v>
      </c>
      <c r="O307" t="s">
        <v>74</v>
      </c>
      <c r="P307" t="s">
        <v>74</v>
      </c>
      <c r="Q307" t="s">
        <v>74</v>
      </c>
      <c r="R307" t="s">
        <v>74</v>
      </c>
      <c r="S307" t="s">
        <v>74</v>
      </c>
      <c r="T307" t="s">
        <v>74</v>
      </c>
      <c r="U307" t="s">
        <v>4934</v>
      </c>
      <c r="V307" t="s">
        <v>4935</v>
      </c>
      <c r="W307" t="s">
        <v>4936</v>
      </c>
      <c r="X307" t="s">
        <v>4937</v>
      </c>
      <c r="Y307" t="s">
        <v>4938</v>
      </c>
      <c r="Z307" t="s">
        <v>4939</v>
      </c>
      <c r="AA307" t="s">
        <v>4940</v>
      </c>
      <c r="AB307" t="s">
        <v>4941</v>
      </c>
      <c r="AC307" t="s">
        <v>74</v>
      </c>
      <c r="AD307" t="s">
        <v>74</v>
      </c>
      <c r="AE307" t="s">
        <v>74</v>
      </c>
      <c r="AF307" t="s">
        <v>74</v>
      </c>
      <c r="AG307">
        <v>31</v>
      </c>
      <c r="AH307">
        <v>37</v>
      </c>
      <c r="AI307">
        <v>41</v>
      </c>
      <c r="AJ307">
        <v>0</v>
      </c>
      <c r="AK307">
        <v>11</v>
      </c>
      <c r="AL307" t="s">
        <v>1789</v>
      </c>
      <c r="AM307" t="s">
        <v>1790</v>
      </c>
      <c r="AN307" t="s">
        <v>1791</v>
      </c>
      <c r="AO307" t="s">
        <v>2007</v>
      </c>
      <c r="AP307" t="s">
        <v>2021</v>
      </c>
      <c r="AQ307" t="s">
        <v>74</v>
      </c>
      <c r="AR307" t="s">
        <v>2008</v>
      </c>
      <c r="AS307" t="s">
        <v>2009</v>
      </c>
      <c r="AT307" t="s">
        <v>4357</v>
      </c>
      <c r="AU307">
        <v>2005</v>
      </c>
      <c r="AV307">
        <v>146</v>
      </c>
      <c r="AW307">
        <v>6</v>
      </c>
      <c r="AX307" t="s">
        <v>74</v>
      </c>
      <c r="AY307" t="s">
        <v>74</v>
      </c>
      <c r="AZ307" t="s">
        <v>74</v>
      </c>
      <c r="BA307" t="s">
        <v>74</v>
      </c>
      <c r="BB307">
        <v>1177</v>
      </c>
      <c r="BC307">
        <v>1188</v>
      </c>
      <c r="BD307" t="s">
        <v>74</v>
      </c>
      <c r="BE307" t="s">
        <v>4942</v>
      </c>
      <c r="BF307" t="str">
        <f>HYPERLINK("http://dx.doi.org/10.1007/s00227-004-1510-8","http://dx.doi.org/10.1007/s00227-004-1510-8")</f>
        <v>http://dx.doi.org/10.1007/s00227-004-1510-8</v>
      </c>
      <c r="BG307" t="s">
        <v>74</v>
      </c>
      <c r="BH307" t="s">
        <v>74</v>
      </c>
      <c r="BI307">
        <v>12</v>
      </c>
      <c r="BJ307" t="s">
        <v>2011</v>
      </c>
      <c r="BK307" t="s">
        <v>95</v>
      </c>
      <c r="BL307" t="s">
        <v>2011</v>
      </c>
      <c r="BM307" t="s">
        <v>4919</v>
      </c>
      <c r="BN307" t="s">
        <v>74</v>
      </c>
      <c r="BO307" t="s">
        <v>74</v>
      </c>
      <c r="BP307" t="s">
        <v>74</v>
      </c>
      <c r="BQ307" t="s">
        <v>74</v>
      </c>
      <c r="BR307" t="s">
        <v>97</v>
      </c>
      <c r="BS307" t="s">
        <v>4943</v>
      </c>
      <c r="BT307" t="str">
        <f>HYPERLINK("https%3A%2F%2Fwww.webofscience.com%2Fwos%2Fwoscc%2Ffull-record%2FWOS:000228638600014","View Full Record in Web of Science")</f>
        <v>View Full Record in Web of Science</v>
      </c>
    </row>
    <row r="308" spans="1:72" x14ac:dyDescent="0.15">
      <c r="A308" t="s">
        <v>72</v>
      </c>
      <c r="B308" t="s">
        <v>4944</v>
      </c>
      <c r="C308" t="s">
        <v>74</v>
      </c>
      <c r="D308" t="s">
        <v>74</v>
      </c>
      <c r="E308" t="s">
        <v>74</v>
      </c>
      <c r="F308" t="s">
        <v>4944</v>
      </c>
      <c r="G308" t="s">
        <v>74</v>
      </c>
      <c r="H308" t="s">
        <v>74</v>
      </c>
      <c r="I308" t="s">
        <v>4945</v>
      </c>
      <c r="J308" t="s">
        <v>1999</v>
      </c>
      <c r="K308" t="s">
        <v>74</v>
      </c>
      <c r="L308" t="s">
        <v>74</v>
      </c>
      <c r="M308" t="s">
        <v>77</v>
      </c>
      <c r="N308" t="s">
        <v>78</v>
      </c>
      <c r="O308" t="s">
        <v>74</v>
      </c>
      <c r="P308" t="s">
        <v>74</v>
      </c>
      <c r="Q308" t="s">
        <v>74</v>
      </c>
      <c r="R308" t="s">
        <v>74</v>
      </c>
      <c r="S308" t="s">
        <v>74</v>
      </c>
      <c r="T308" t="s">
        <v>74</v>
      </c>
      <c r="U308" t="s">
        <v>4946</v>
      </c>
      <c r="V308" t="s">
        <v>4947</v>
      </c>
      <c r="W308" t="s">
        <v>670</v>
      </c>
      <c r="X308" t="s">
        <v>671</v>
      </c>
      <c r="Y308" t="s">
        <v>230</v>
      </c>
      <c r="Z308" t="s">
        <v>4948</v>
      </c>
      <c r="AA308" t="s">
        <v>74</v>
      </c>
      <c r="AB308" t="s">
        <v>74</v>
      </c>
      <c r="AC308" t="s">
        <v>74</v>
      </c>
      <c r="AD308" t="s">
        <v>74</v>
      </c>
      <c r="AE308" t="s">
        <v>74</v>
      </c>
      <c r="AF308" t="s">
        <v>74</v>
      </c>
      <c r="AG308">
        <v>66</v>
      </c>
      <c r="AH308">
        <v>38</v>
      </c>
      <c r="AI308">
        <v>41</v>
      </c>
      <c r="AJ308">
        <v>0</v>
      </c>
      <c r="AK308">
        <v>18</v>
      </c>
      <c r="AL308" t="s">
        <v>1789</v>
      </c>
      <c r="AM308" t="s">
        <v>1790</v>
      </c>
      <c r="AN308" t="s">
        <v>1791</v>
      </c>
      <c r="AO308" t="s">
        <v>2007</v>
      </c>
      <c r="AP308" t="s">
        <v>2021</v>
      </c>
      <c r="AQ308" t="s">
        <v>74</v>
      </c>
      <c r="AR308" t="s">
        <v>2008</v>
      </c>
      <c r="AS308" t="s">
        <v>2009</v>
      </c>
      <c r="AT308" t="s">
        <v>4357</v>
      </c>
      <c r="AU308">
        <v>2005</v>
      </c>
      <c r="AV308">
        <v>146</v>
      </c>
      <c r="AW308">
        <v>6</v>
      </c>
      <c r="AX308" t="s">
        <v>74</v>
      </c>
      <c r="AY308" t="s">
        <v>74</v>
      </c>
      <c r="AZ308" t="s">
        <v>74</v>
      </c>
      <c r="BA308" t="s">
        <v>74</v>
      </c>
      <c r="BB308">
        <v>1235</v>
      </c>
      <c r="BC308">
        <v>1249</v>
      </c>
      <c r="BD308" t="s">
        <v>74</v>
      </c>
      <c r="BE308" t="s">
        <v>4949</v>
      </c>
      <c r="BF308" t="str">
        <f>HYPERLINK("http://dx.doi.org/10.1007/s00227-004-1526-0","http://dx.doi.org/10.1007/s00227-004-1526-0")</f>
        <v>http://dx.doi.org/10.1007/s00227-004-1526-0</v>
      </c>
      <c r="BG308" t="s">
        <v>74</v>
      </c>
      <c r="BH308" t="s">
        <v>74</v>
      </c>
      <c r="BI308">
        <v>15</v>
      </c>
      <c r="BJ308" t="s">
        <v>2011</v>
      </c>
      <c r="BK308" t="s">
        <v>95</v>
      </c>
      <c r="BL308" t="s">
        <v>2011</v>
      </c>
      <c r="BM308" t="s">
        <v>4919</v>
      </c>
      <c r="BN308" t="s">
        <v>74</v>
      </c>
      <c r="BO308" t="s">
        <v>74</v>
      </c>
      <c r="BP308" t="s">
        <v>74</v>
      </c>
      <c r="BQ308" t="s">
        <v>74</v>
      </c>
      <c r="BR308" t="s">
        <v>97</v>
      </c>
      <c r="BS308" t="s">
        <v>4950</v>
      </c>
      <c r="BT308" t="str">
        <f>HYPERLINK("https%3A%2F%2Fwww.webofscience.com%2Fwos%2Fwoscc%2Ffull-record%2FWOS:000228638600020","View Full Record in Web of Science")</f>
        <v>View Full Record in Web of Science</v>
      </c>
    </row>
    <row r="309" spans="1:72" x14ac:dyDescent="0.15">
      <c r="A309" t="s">
        <v>72</v>
      </c>
      <c r="B309" t="s">
        <v>4951</v>
      </c>
      <c r="C309" t="s">
        <v>74</v>
      </c>
      <c r="D309" t="s">
        <v>74</v>
      </c>
      <c r="E309" t="s">
        <v>74</v>
      </c>
      <c r="F309" t="s">
        <v>4951</v>
      </c>
      <c r="G309" t="s">
        <v>74</v>
      </c>
      <c r="H309" t="s">
        <v>74</v>
      </c>
      <c r="I309" t="s">
        <v>4952</v>
      </c>
      <c r="J309" t="s">
        <v>3789</v>
      </c>
      <c r="K309" t="s">
        <v>74</v>
      </c>
      <c r="L309" t="s">
        <v>74</v>
      </c>
      <c r="M309" t="s">
        <v>77</v>
      </c>
      <c r="N309" t="s">
        <v>78</v>
      </c>
      <c r="O309" t="s">
        <v>74</v>
      </c>
      <c r="P309" t="s">
        <v>74</v>
      </c>
      <c r="Q309" t="s">
        <v>74</v>
      </c>
      <c r="R309" t="s">
        <v>74</v>
      </c>
      <c r="S309" t="s">
        <v>74</v>
      </c>
      <c r="T309" t="s">
        <v>4953</v>
      </c>
      <c r="U309" t="s">
        <v>4954</v>
      </c>
      <c r="V309" t="s">
        <v>4955</v>
      </c>
      <c r="W309" t="s">
        <v>4956</v>
      </c>
      <c r="X309" t="s">
        <v>4957</v>
      </c>
      <c r="Y309" t="s">
        <v>4958</v>
      </c>
      <c r="Z309" t="s">
        <v>4959</v>
      </c>
      <c r="AA309" t="s">
        <v>4960</v>
      </c>
      <c r="AB309" t="s">
        <v>4961</v>
      </c>
      <c r="AC309" t="s">
        <v>74</v>
      </c>
      <c r="AD309" t="s">
        <v>74</v>
      </c>
      <c r="AE309" t="s">
        <v>74</v>
      </c>
      <c r="AF309" t="s">
        <v>74</v>
      </c>
      <c r="AG309">
        <v>55</v>
      </c>
      <c r="AH309">
        <v>97</v>
      </c>
      <c r="AI309">
        <v>117</v>
      </c>
      <c r="AJ309">
        <v>0</v>
      </c>
      <c r="AK309">
        <v>29</v>
      </c>
      <c r="AL309" t="s">
        <v>472</v>
      </c>
      <c r="AM309" t="s">
        <v>473</v>
      </c>
      <c r="AN309" t="s">
        <v>474</v>
      </c>
      <c r="AO309" t="s">
        <v>3799</v>
      </c>
      <c r="AP309" t="s">
        <v>4962</v>
      </c>
      <c r="AQ309" t="s">
        <v>74</v>
      </c>
      <c r="AR309" t="s">
        <v>3800</v>
      </c>
      <c r="AS309" t="s">
        <v>3801</v>
      </c>
      <c r="AT309" t="s">
        <v>4357</v>
      </c>
      <c r="AU309">
        <v>2005</v>
      </c>
      <c r="AV309">
        <v>14</v>
      </c>
      <c r="AW309">
        <v>5</v>
      </c>
      <c r="AX309" t="s">
        <v>74</v>
      </c>
      <c r="AY309" t="s">
        <v>74</v>
      </c>
      <c r="AZ309" t="s">
        <v>74</v>
      </c>
      <c r="BA309" t="s">
        <v>74</v>
      </c>
      <c r="BB309">
        <v>1343</v>
      </c>
      <c r="BC309">
        <v>1354</v>
      </c>
      <c r="BD309" t="s">
        <v>74</v>
      </c>
      <c r="BE309" t="s">
        <v>4963</v>
      </c>
      <c r="BF309" t="str">
        <f>HYPERLINK("http://dx.doi.org/10.1111/j.1365-294X.2005.02518.x","http://dx.doi.org/10.1111/j.1365-294X.2005.02518.x")</f>
        <v>http://dx.doi.org/10.1111/j.1365-294X.2005.02518.x</v>
      </c>
      <c r="BG309" t="s">
        <v>74</v>
      </c>
      <c r="BH309" t="s">
        <v>74</v>
      </c>
      <c r="BI309">
        <v>12</v>
      </c>
      <c r="BJ309" t="s">
        <v>3803</v>
      </c>
      <c r="BK309" t="s">
        <v>95</v>
      </c>
      <c r="BL309" t="s">
        <v>3804</v>
      </c>
      <c r="BM309" t="s">
        <v>4964</v>
      </c>
      <c r="BN309">
        <v>15813775</v>
      </c>
      <c r="BO309" t="s">
        <v>74</v>
      </c>
      <c r="BP309" t="s">
        <v>74</v>
      </c>
      <c r="BQ309" t="s">
        <v>74</v>
      </c>
      <c r="BR309" t="s">
        <v>97</v>
      </c>
      <c r="BS309" t="s">
        <v>4965</v>
      </c>
      <c r="BT309" t="str">
        <f>HYPERLINK("https%3A%2F%2Fwww.webofscience.com%2Fwos%2Fwoscc%2Ffull-record%2FWOS:000228179200007","View Full Record in Web of Science")</f>
        <v>View Full Record in Web of Science</v>
      </c>
    </row>
    <row r="310" spans="1:72" x14ac:dyDescent="0.15">
      <c r="A310" t="s">
        <v>72</v>
      </c>
      <c r="B310" t="s">
        <v>4966</v>
      </c>
      <c r="C310" t="s">
        <v>74</v>
      </c>
      <c r="D310" t="s">
        <v>74</v>
      </c>
      <c r="E310" t="s">
        <v>74</v>
      </c>
      <c r="F310" t="s">
        <v>4966</v>
      </c>
      <c r="G310" t="s">
        <v>74</v>
      </c>
      <c r="H310" t="s">
        <v>74</v>
      </c>
      <c r="I310" t="s">
        <v>4967</v>
      </c>
      <c r="J310" t="s">
        <v>4968</v>
      </c>
      <c r="K310" t="s">
        <v>74</v>
      </c>
      <c r="L310" t="s">
        <v>74</v>
      </c>
      <c r="M310" t="s">
        <v>77</v>
      </c>
      <c r="N310" t="s">
        <v>78</v>
      </c>
      <c r="O310" t="s">
        <v>74</v>
      </c>
      <c r="P310" t="s">
        <v>74</v>
      </c>
      <c r="Q310" t="s">
        <v>74</v>
      </c>
      <c r="R310" t="s">
        <v>74</v>
      </c>
      <c r="S310" t="s">
        <v>74</v>
      </c>
      <c r="T310" t="s">
        <v>4969</v>
      </c>
      <c r="U310" t="s">
        <v>4970</v>
      </c>
      <c r="V310" t="s">
        <v>4971</v>
      </c>
      <c r="W310" t="s">
        <v>670</v>
      </c>
      <c r="X310" t="s">
        <v>671</v>
      </c>
      <c r="Y310" t="s">
        <v>230</v>
      </c>
      <c r="Z310" t="s">
        <v>4972</v>
      </c>
      <c r="AA310" t="s">
        <v>4973</v>
      </c>
      <c r="AB310" t="s">
        <v>4974</v>
      </c>
      <c r="AC310" t="s">
        <v>74</v>
      </c>
      <c r="AD310" t="s">
        <v>74</v>
      </c>
      <c r="AE310" t="s">
        <v>74</v>
      </c>
      <c r="AF310" t="s">
        <v>74</v>
      </c>
      <c r="AG310">
        <v>37</v>
      </c>
      <c r="AH310">
        <v>16</v>
      </c>
      <c r="AI310">
        <v>17</v>
      </c>
      <c r="AJ310">
        <v>3</v>
      </c>
      <c r="AK310">
        <v>4</v>
      </c>
      <c r="AL310" t="s">
        <v>4975</v>
      </c>
      <c r="AM310" t="s">
        <v>4976</v>
      </c>
      <c r="AN310" t="s">
        <v>4977</v>
      </c>
      <c r="AO310" t="s">
        <v>4978</v>
      </c>
      <c r="AP310" t="s">
        <v>74</v>
      </c>
      <c r="AQ310" t="s">
        <v>74</v>
      </c>
      <c r="AR310" t="s">
        <v>4968</v>
      </c>
      <c r="AS310" t="s">
        <v>4979</v>
      </c>
      <c r="AT310" t="s">
        <v>4980</v>
      </c>
      <c r="AU310">
        <v>2005</v>
      </c>
      <c r="AV310">
        <v>92</v>
      </c>
      <c r="AW310" t="s">
        <v>74</v>
      </c>
      <c r="AX310" t="s">
        <v>74</v>
      </c>
      <c r="AY310" t="s">
        <v>74</v>
      </c>
      <c r="AZ310" t="s">
        <v>74</v>
      </c>
      <c r="BA310" t="s">
        <v>74</v>
      </c>
      <c r="BB310">
        <v>213</v>
      </c>
      <c r="BC310">
        <v>222</v>
      </c>
      <c r="BD310" t="s">
        <v>74</v>
      </c>
      <c r="BE310" t="s">
        <v>74</v>
      </c>
      <c r="BF310" t="s">
        <v>74</v>
      </c>
      <c r="BG310" t="s">
        <v>74</v>
      </c>
      <c r="BH310" t="s">
        <v>74</v>
      </c>
      <c r="BI310">
        <v>10</v>
      </c>
      <c r="BJ310" t="s">
        <v>4981</v>
      </c>
      <c r="BK310" t="s">
        <v>95</v>
      </c>
      <c r="BL310" t="s">
        <v>4981</v>
      </c>
      <c r="BM310" t="s">
        <v>4982</v>
      </c>
      <c r="BN310" t="s">
        <v>74</v>
      </c>
      <c r="BO310" t="s">
        <v>74</v>
      </c>
      <c r="BP310" t="s">
        <v>74</v>
      </c>
      <c r="BQ310" t="s">
        <v>74</v>
      </c>
      <c r="BR310" t="s">
        <v>97</v>
      </c>
      <c r="BS310" t="s">
        <v>4983</v>
      </c>
      <c r="BT310" t="str">
        <f>HYPERLINK("https%3A%2F%2Fwww.webofscience.com%2Fwos%2Fwoscc%2Ffull-record%2FWOS:000230538200020","View Full Record in Web of Science")</f>
        <v>View Full Record in Web of Science</v>
      </c>
    </row>
    <row r="311" spans="1:72" x14ac:dyDescent="0.15">
      <c r="A311" t="s">
        <v>72</v>
      </c>
      <c r="B311" t="s">
        <v>2146</v>
      </c>
      <c r="C311" t="s">
        <v>74</v>
      </c>
      <c r="D311" t="s">
        <v>74</v>
      </c>
      <c r="E311" t="s">
        <v>74</v>
      </c>
      <c r="F311" t="s">
        <v>2146</v>
      </c>
      <c r="G311" t="s">
        <v>74</v>
      </c>
      <c r="H311" t="s">
        <v>74</v>
      </c>
      <c r="I311" t="s">
        <v>4984</v>
      </c>
      <c r="J311" t="s">
        <v>2148</v>
      </c>
      <c r="K311" t="s">
        <v>74</v>
      </c>
      <c r="L311" t="s">
        <v>74</v>
      </c>
      <c r="M311" t="s">
        <v>77</v>
      </c>
      <c r="N311" t="s">
        <v>249</v>
      </c>
      <c r="O311" t="s">
        <v>74</v>
      </c>
      <c r="P311" t="s">
        <v>74</v>
      </c>
      <c r="Q311" t="s">
        <v>74</v>
      </c>
      <c r="R311" t="s">
        <v>74</v>
      </c>
      <c r="S311" t="s">
        <v>74</v>
      </c>
      <c r="T311" t="s">
        <v>74</v>
      </c>
      <c r="U311" t="s">
        <v>4985</v>
      </c>
      <c r="V311" t="s">
        <v>74</v>
      </c>
      <c r="W311" t="s">
        <v>4986</v>
      </c>
      <c r="X311" t="s">
        <v>74</v>
      </c>
      <c r="Y311" t="s">
        <v>4987</v>
      </c>
      <c r="Z311" t="s">
        <v>4988</v>
      </c>
      <c r="AA311" t="s">
        <v>74</v>
      </c>
      <c r="AB311" t="s">
        <v>74</v>
      </c>
      <c r="AC311" t="s">
        <v>74</v>
      </c>
      <c r="AD311" t="s">
        <v>74</v>
      </c>
      <c r="AE311" t="s">
        <v>74</v>
      </c>
      <c r="AF311" t="s">
        <v>74</v>
      </c>
      <c r="AG311">
        <v>10</v>
      </c>
      <c r="AH311">
        <v>16</v>
      </c>
      <c r="AI311">
        <v>20</v>
      </c>
      <c r="AJ311">
        <v>0</v>
      </c>
      <c r="AK311">
        <v>13</v>
      </c>
      <c r="AL311" t="s">
        <v>2149</v>
      </c>
      <c r="AM311" t="s">
        <v>2150</v>
      </c>
      <c r="AN311" t="s">
        <v>4989</v>
      </c>
      <c r="AO311" t="s">
        <v>4990</v>
      </c>
      <c r="AP311" t="s">
        <v>74</v>
      </c>
      <c r="AQ311" t="s">
        <v>74</v>
      </c>
      <c r="AR311" t="s">
        <v>2153</v>
      </c>
      <c r="AS311" t="s">
        <v>2154</v>
      </c>
      <c r="AT311" t="s">
        <v>4357</v>
      </c>
      <c r="AU311">
        <v>2005</v>
      </c>
      <c r="AV311">
        <v>3</v>
      </c>
      <c r="AW311">
        <v>4</v>
      </c>
      <c r="AX311" t="s">
        <v>74</v>
      </c>
      <c r="AY311" t="s">
        <v>74</v>
      </c>
      <c r="AZ311" t="s">
        <v>74</v>
      </c>
      <c r="BA311" t="s">
        <v>74</v>
      </c>
      <c r="BB311">
        <v>557</v>
      </c>
      <c r="BC311">
        <v>561</v>
      </c>
      <c r="BD311" t="s">
        <v>4991</v>
      </c>
      <c r="BE311" t="s">
        <v>4992</v>
      </c>
      <c r="BF311" t="str">
        <f>HYPERLINK("http://dx.doi.org/10.1371/journal.pbio.0030127","http://dx.doi.org/10.1371/journal.pbio.0030127")</f>
        <v>http://dx.doi.org/10.1371/journal.pbio.0030127</v>
      </c>
      <c r="BG311" t="s">
        <v>74</v>
      </c>
      <c r="BH311" t="s">
        <v>74</v>
      </c>
      <c r="BI311">
        <v>5</v>
      </c>
      <c r="BJ311" t="s">
        <v>2157</v>
      </c>
      <c r="BK311" t="s">
        <v>95</v>
      </c>
      <c r="BL311" t="s">
        <v>2158</v>
      </c>
      <c r="BM311" t="s">
        <v>4993</v>
      </c>
      <c r="BN311">
        <v>15819605</v>
      </c>
      <c r="BO311" t="s">
        <v>4994</v>
      </c>
      <c r="BP311" t="s">
        <v>74</v>
      </c>
      <c r="BQ311" t="s">
        <v>74</v>
      </c>
      <c r="BR311" t="s">
        <v>97</v>
      </c>
      <c r="BS311" t="s">
        <v>4995</v>
      </c>
      <c r="BT311" t="str">
        <f>HYPERLINK("https%3A%2F%2Fwww.webofscience.com%2Fwos%2Fwoscc%2Ffull-record%2FWOS:000228279900002","View Full Record in Web of Science")</f>
        <v>View Full Record in Web of Science</v>
      </c>
    </row>
    <row r="312" spans="1:72" x14ac:dyDescent="0.15">
      <c r="A312" t="s">
        <v>72</v>
      </c>
      <c r="B312" t="s">
        <v>4996</v>
      </c>
      <c r="C312" t="s">
        <v>74</v>
      </c>
      <c r="D312" t="s">
        <v>74</v>
      </c>
      <c r="E312" t="s">
        <v>74</v>
      </c>
      <c r="F312" t="s">
        <v>4996</v>
      </c>
      <c r="G312" t="s">
        <v>74</v>
      </c>
      <c r="H312" t="s">
        <v>74</v>
      </c>
      <c r="I312" t="s">
        <v>4997</v>
      </c>
      <c r="J312" t="s">
        <v>124</v>
      </c>
      <c r="K312" t="s">
        <v>74</v>
      </c>
      <c r="L312" t="s">
        <v>74</v>
      </c>
      <c r="M312" t="s">
        <v>77</v>
      </c>
      <c r="N312" t="s">
        <v>365</v>
      </c>
      <c r="O312" t="s">
        <v>74</v>
      </c>
      <c r="P312" t="s">
        <v>74</v>
      </c>
      <c r="Q312" t="s">
        <v>74</v>
      </c>
      <c r="R312" t="s">
        <v>74</v>
      </c>
      <c r="S312" t="s">
        <v>74</v>
      </c>
      <c r="T312" t="s">
        <v>74</v>
      </c>
      <c r="U312" t="s">
        <v>4998</v>
      </c>
      <c r="V312" t="s">
        <v>4999</v>
      </c>
      <c r="W312" t="s">
        <v>5000</v>
      </c>
      <c r="X312" t="s">
        <v>5001</v>
      </c>
      <c r="Y312" t="s">
        <v>230</v>
      </c>
      <c r="Z312" t="s">
        <v>1907</v>
      </c>
      <c r="AA312" t="s">
        <v>5002</v>
      </c>
      <c r="AB312" t="s">
        <v>5003</v>
      </c>
      <c r="AC312" t="s">
        <v>74</v>
      </c>
      <c r="AD312" t="s">
        <v>74</v>
      </c>
      <c r="AE312" t="s">
        <v>74</v>
      </c>
      <c r="AF312" t="s">
        <v>74</v>
      </c>
      <c r="AG312">
        <v>142</v>
      </c>
      <c r="AH312">
        <v>32</v>
      </c>
      <c r="AI312">
        <v>39</v>
      </c>
      <c r="AJ312">
        <v>2</v>
      </c>
      <c r="AK312">
        <v>34</v>
      </c>
      <c r="AL312" t="s">
        <v>133</v>
      </c>
      <c r="AM312" t="s">
        <v>134</v>
      </c>
      <c r="AN312" t="s">
        <v>181</v>
      </c>
      <c r="AO312" t="s">
        <v>136</v>
      </c>
      <c r="AP312" t="s">
        <v>156</v>
      </c>
      <c r="AQ312" t="s">
        <v>74</v>
      </c>
      <c r="AR312" t="s">
        <v>137</v>
      </c>
      <c r="AS312" t="s">
        <v>138</v>
      </c>
      <c r="AT312" t="s">
        <v>4357</v>
      </c>
      <c r="AU312">
        <v>2005</v>
      </c>
      <c r="AV312">
        <v>28</v>
      </c>
      <c r="AW312">
        <v>5</v>
      </c>
      <c r="AX312" t="s">
        <v>74</v>
      </c>
      <c r="AY312" t="s">
        <v>74</v>
      </c>
      <c r="AZ312" t="s">
        <v>74</v>
      </c>
      <c r="BA312" t="s">
        <v>74</v>
      </c>
      <c r="BB312">
        <v>351</v>
      </c>
      <c r="BC312">
        <v>365</v>
      </c>
      <c r="BD312" t="s">
        <v>74</v>
      </c>
      <c r="BE312" t="s">
        <v>5004</v>
      </c>
      <c r="BF312" t="str">
        <f>HYPERLINK("http://dx.doi.org/10.1007/s00300-004-0671-8","http://dx.doi.org/10.1007/s00300-004-0671-8")</f>
        <v>http://dx.doi.org/10.1007/s00300-004-0671-8</v>
      </c>
      <c r="BG312" t="s">
        <v>74</v>
      </c>
      <c r="BH312" t="s">
        <v>74</v>
      </c>
      <c r="BI312">
        <v>15</v>
      </c>
      <c r="BJ312" t="s">
        <v>140</v>
      </c>
      <c r="BK312" t="s">
        <v>95</v>
      </c>
      <c r="BL312" t="s">
        <v>141</v>
      </c>
      <c r="BM312" t="s">
        <v>5005</v>
      </c>
      <c r="BN312" t="s">
        <v>74</v>
      </c>
      <c r="BO312" t="s">
        <v>74</v>
      </c>
      <c r="BP312" t="s">
        <v>74</v>
      </c>
      <c r="BQ312" t="s">
        <v>74</v>
      </c>
      <c r="BR312" t="s">
        <v>97</v>
      </c>
      <c r="BS312" t="s">
        <v>5006</v>
      </c>
      <c r="BT312" t="str">
        <f>HYPERLINK("https%3A%2F%2Fwww.webofscience.com%2Fwos%2Fwoscc%2Ffull-record%2FWOS:000228234800001","View Full Record in Web of Science")</f>
        <v>View Full Record in Web of Science</v>
      </c>
    </row>
    <row r="313" spans="1:72" x14ac:dyDescent="0.15">
      <c r="A313" t="s">
        <v>72</v>
      </c>
      <c r="B313" t="s">
        <v>5007</v>
      </c>
      <c r="C313" t="s">
        <v>74</v>
      </c>
      <c r="D313" t="s">
        <v>74</v>
      </c>
      <c r="E313" t="s">
        <v>74</v>
      </c>
      <c r="F313" t="s">
        <v>5007</v>
      </c>
      <c r="G313" t="s">
        <v>74</v>
      </c>
      <c r="H313" t="s">
        <v>74</v>
      </c>
      <c r="I313" t="s">
        <v>5008</v>
      </c>
      <c r="J313" t="s">
        <v>124</v>
      </c>
      <c r="K313" t="s">
        <v>74</v>
      </c>
      <c r="L313" t="s">
        <v>74</v>
      </c>
      <c r="M313" t="s">
        <v>77</v>
      </c>
      <c r="N313" t="s">
        <v>78</v>
      </c>
      <c r="O313" t="s">
        <v>74</v>
      </c>
      <c r="P313" t="s">
        <v>74</v>
      </c>
      <c r="Q313" t="s">
        <v>74</v>
      </c>
      <c r="R313" t="s">
        <v>74</v>
      </c>
      <c r="S313" t="s">
        <v>74</v>
      </c>
      <c r="T313" t="s">
        <v>74</v>
      </c>
      <c r="U313" t="s">
        <v>5009</v>
      </c>
      <c r="V313" t="s">
        <v>5010</v>
      </c>
      <c r="W313" t="s">
        <v>5011</v>
      </c>
      <c r="X313" t="s">
        <v>1242</v>
      </c>
      <c r="Y313" t="s">
        <v>5012</v>
      </c>
      <c r="Z313" t="s">
        <v>5013</v>
      </c>
      <c r="AA313" t="s">
        <v>5014</v>
      </c>
      <c r="AB313" t="s">
        <v>5015</v>
      </c>
      <c r="AC313" t="s">
        <v>74</v>
      </c>
      <c r="AD313" t="s">
        <v>74</v>
      </c>
      <c r="AE313" t="s">
        <v>74</v>
      </c>
      <c r="AF313" t="s">
        <v>74</v>
      </c>
      <c r="AG313">
        <v>38</v>
      </c>
      <c r="AH313">
        <v>6</v>
      </c>
      <c r="AI313">
        <v>6</v>
      </c>
      <c r="AJ313">
        <v>0</v>
      </c>
      <c r="AK313">
        <v>3</v>
      </c>
      <c r="AL313" t="s">
        <v>133</v>
      </c>
      <c r="AM313" t="s">
        <v>134</v>
      </c>
      <c r="AN313" t="s">
        <v>155</v>
      </c>
      <c r="AO313" t="s">
        <v>136</v>
      </c>
      <c r="AP313" t="s">
        <v>156</v>
      </c>
      <c r="AQ313" t="s">
        <v>74</v>
      </c>
      <c r="AR313" t="s">
        <v>137</v>
      </c>
      <c r="AS313" t="s">
        <v>138</v>
      </c>
      <c r="AT313" t="s">
        <v>4357</v>
      </c>
      <c r="AU313">
        <v>2005</v>
      </c>
      <c r="AV313">
        <v>28</v>
      </c>
      <c r="AW313">
        <v>5</v>
      </c>
      <c r="AX313" t="s">
        <v>74</v>
      </c>
      <c r="AY313" t="s">
        <v>74</v>
      </c>
      <c r="AZ313" t="s">
        <v>74</v>
      </c>
      <c r="BA313" t="s">
        <v>74</v>
      </c>
      <c r="BB313">
        <v>366</v>
      </c>
      <c r="BC313">
        <v>371</v>
      </c>
      <c r="BD313" t="s">
        <v>74</v>
      </c>
      <c r="BE313" t="s">
        <v>5016</v>
      </c>
      <c r="BF313" t="str">
        <f>HYPERLINK("http://dx.doi.org/10.1007/s00300-004-0706-1","http://dx.doi.org/10.1007/s00300-004-0706-1")</f>
        <v>http://dx.doi.org/10.1007/s00300-004-0706-1</v>
      </c>
      <c r="BG313" t="s">
        <v>74</v>
      </c>
      <c r="BH313" t="s">
        <v>74</v>
      </c>
      <c r="BI313">
        <v>6</v>
      </c>
      <c r="BJ313" t="s">
        <v>140</v>
      </c>
      <c r="BK313" t="s">
        <v>95</v>
      </c>
      <c r="BL313" t="s">
        <v>141</v>
      </c>
      <c r="BM313" t="s">
        <v>5005</v>
      </c>
      <c r="BN313" t="s">
        <v>74</v>
      </c>
      <c r="BO313" t="s">
        <v>74</v>
      </c>
      <c r="BP313" t="s">
        <v>74</v>
      </c>
      <c r="BQ313" t="s">
        <v>74</v>
      </c>
      <c r="BR313" t="s">
        <v>97</v>
      </c>
      <c r="BS313" t="s">
        <v>5017</v>
      </c>
      <c r="BT313" t="str">
        <f>HYPERLINK("https%3A%2F%2Fwww.webofscience.com%2Fwos%2Fwoscc%2Ffull-record%2FWOS:000228234800002","View Full Record in Web of Science")</f>
        <v>View Full Record in Web of Science</v>
      </c>
    </row>
    <row r="314" spans="1:72" x14ac:dyDescent="0.15">
      <c r="A314" t="s">
        <v>72</v>
      </c>
      <c r="B314" t="s">
        <v>5018</v>
      </c>
      <c r="C314" t="s">
        <v>74</v>
      </c>
      <c r="D314" t="s">
        <v>74</v>
      </c>
      <c r="E314" t="s">
        <v>74</v>
      </c>
      <c r="F314" t="s">
        <v>5018</v>
      </c>
      <c r="G314" t="s">
        <v>74</v>
      </c>
      <c r="H314" t="s">
        <v>74</v>
      </c>
      <c r="I314" t="s">
        <v>5019</v>
      </c>
      <c r="J314" t="s">
        <v>124</v>
      </c>
      <c r="K314" t="s">
        <v>74</v>
      </c>
      <c r="L314" t="s">
        <v>74</v>
      </c>
      <c r="M314" t="s">
        <v>77</v>
      </c>
      <c r="N314" t="s">
        <v>78</v>
      </c>
      <c r="O314" t="s">
        <v>74</v>
      </c>
      <c r="P314" t="s">
        <v>74</v>
      </c>
      <c r="Q314" t="s">
        <v>74</v>
      </c>
      <c r="R314" t="s">
        <v>74</v>
      </c>
      <c r="S314" t="s">
        <v>74</v>
      </c>
      <c r="T314" t="s">
        <v>74</v>
      </c>
      <c r="U314" t="s">
        <v>5020</v>
      </c>
      <c r="V314" t="s">
        <v>5021</v>
      </c>
      <c r="W314" t="s">
        <v>5022</v>
      </c>
      <c r="X314" t="s">
        <v>5023</v>
      </c>
      <c r="Y314" t="s">
        <v>5024</v>
      </c>
      <c r="Z314" t="s">
        <v>5025</v>
      </c>
      <c r="AA314" t="s">
        <v>5026</v>
      </c>
      <c r="AB314" t="s">
        <v>5027</v>
      </c>
      <c r="AC314" t="s">
        <v>74</v>
      </c>
      <c r="AD314" t="s">
        <v>74</v>
      </c>
      <c r="AE314" t="s">
        <v>74</v>
      </c>
      <c r="AF314" t="s">
        <v>74</v>
      </c>
      <c r="AG314">
        <v>57</v>
      </c>
      <c r="AH314">
        <v>18</v>
      </c>
      <c r="AI314">
        <v>19</v>
      </c>
      <c r="AJ314">
        <v>0</v>
      </c>
      <c r="AK314">
        <v>8</v>
      </c>
      <c r="AL314" t="s">
        <v>133</v>
      </c>
      <c r="AM314" t="s">
        <v>134</v>
      </c>
      <c r="AN314" t="s">
        <v>155</v>
      </c>
      <c r="AO314" t="s">
        <v>136</v>
      </c>
      <c r="AP314" t="s">
        <v>156</v>
      </c>
      <c r="AQ314" t="s">
        <v>74</v>
      </c>
      <c r="AR314" t="s">
        <v>137</v>
      </c>
      <c r="AS314" t="s">
        <v>138</v>
      </c>
      <c r="AT314" t="s">
        <v>4357</v>
      </c>
      <c r="AU314">
        <v>2005</v>
      </c>
      <c r="AV314">
        <v>28</v>
      </c>
      <c r="AW314">
        <v>5</v>
      </c>
      <c r="AX314" t="s">
        <v>74</v>
      </c>
      <c r="AY314" t="s">
        <v>74</v>
      </c>
      <c r="AZ314" t="s">
        <v>74</v>
      </c>
      <c r="BA314" t="s">
        <v>74</v>
      </c>
      <c r="BB314">
        <v>372</v>
      </c>
      <c r="BC314">
        <v>380</v>
      </c>
      <c r="BD314" t="s">
        <v>74</v>
      </c>
      <c r="BE314" t="s">
        <v>5028</v>
      </c>
      <c r="BF314" t="str">
        <f>HYPERLINK("http://dx.doi.org/10.1007/s00300-004-0702-5","http://dx.doi.org/10.1007/s00300-004-0702-5")</f>
        <v>http://dx.doi.org/10.1007/s00300-004-0702-5</v>
      </c>
      <c r="BG314" t="s">
        <v>74</v>
      </c>
      <c r="BH314" t="s">
        <v>74</v>
      </c>
      <c r="BI314">
        <v>9</v>
      </c>
      <c r="BJ314" t="s">
        <v>140</v>
      </c>
      <c r="BK314" t="s">
        <v>95</v>
      </c>
      <c r="BL314" t="s">
        <v>141</v>
      </c>
      <c r="BM314" t="s">
        <v>5005</v>
      </c>
      <c r="BN314" t="s">
        <v>74</v>
      </c>
      <c r="BO314" t="s">
        <v>74</v>
      </c>
      <c r="BP314" t="s">
        <v>74</v>
      </c>
      <c r="BQ314" t="s">
        <v>74</v>
      </c>
      <c r="BR314" t="s">
        <v>97</v>
      </c>
      <c r="BS314" t="s">
        <v>5029</v>
      </c>
      <c r="BT314" t="str">
        <f>HYPERLINK("https%3A%2F%2Fwww.webofscience.com%2Fwos%2Fwoscc%2Ffull-record%2FWOS:000228234800003","View Full Record in Web of Science")</f>
        <v>View Full Record in Web of Science</v>
      </c>
    </row>
    <row r="315" spans="1:72" x14ac:dyDescent="0.15">
      <c r="A315" t="s">
        <v>72</v>
      </c>
      <c r="B315" t="s">
        <v>5030</v>
      </c>
      <c r="C315" t="s">
        <v>74</v>
      </c>
      <c r="D315" t="s">
        <v>74</v>
      </c>
      <c r="E315" t="s">
        <v>74</v>
      </c>
      <c r="F315" t="s">
        <v>5030</v>
      </c>
      <c r="G315" t="s">
        <v>74</v>
      </c>
      <c r="H315" t="s">
        <v>74</v>
      </c>
      <c r="I315" t="s">
        <v>5031</v>
      </c>
      <c r="J315" t="s">
        <v>124</v>
      </c>
      <c r="K315" t="s">
        <v>74</v>
      </c>
      <c r="L315" t="s">
        <v>74</v>
      </c>
      <c r="M315" t="s">
        <v>77</v>
      </c>
      <c r="N315" t="s">
        <v>78</v>
      </c>
      <c r="O315" t="s">
        <v>74</v>
      </c>
      <c r="P315" t="s">
        <v>74</v>
      </c>
      <c r="Q315" t="s">
        <v>74</v>
      </c>
      <c r="R315" t="s">
        <v>74</v>
      </c>
      <c r="S315" t="s">
        <v>74</v>
      </c>
      <c r="T315" t="s">
        <v>74</v>
      </c>
      <c r="U315" t="s">
        <v>5032</v>
      </c>
      <c r="V315" t="s">
        <v>5033</v>
      </c>
      <c r="W315" t="s">
        <v>5034</v>
      </c>
      <c r="X315" t="s">
        <v>5035</v>
      </c>
      <c r="Y315" t="s">
        <v>5036</v>
      </c>
      <c r="Z315" t="s">
        <v>5037</v>
      </c>
      <c r="AA315" t="s">
        <v>5038</v>
      </c>
      <c r="AB315" t="s">
        <v>5039</v>
      </c>
      <c r="AC315" t="s">
        <v>74</v>
      </c>
      <c r="AD315" t="s">
        <v>74</v>
      </c>
      <c r="AE315" t="s">
        <v>74</v>
      </c>
      <c r="AF315" t="s">
        <v>74</v>
      </c>
      <c r="AG315">
        <v>44</v>
      </c>
      <c r="AH315">
        <v>12</v>
      </c>
      <c r="AI315">
        <v>13</v>
      </c>
      <c r="AJ315">
        <v>1</v>
      </c>
      <c r="AK315">
        <v>11</v>
      </c>
      <c r="AL315" t="s">
        <v>133</v>
      </c>
      <c r="AM315" t="s">
        <v>134</v>
      </c>
      <c r="AN315" t="s">
        <v>135</v>
      </c>
      <c r="AO315" t="s">
        <v>136</v>
      </c>
      <c r="AP315" t="s">
        <v>74</v>
      </c>
      <c r="AQ315" t="s">
        <v>74</v>
      </c>
      <c r="AR315" t="s">
        <v>137</v>
      </c>
      <c r="AS315" t="s">
        <v>138</v>
      </c>
      <c r="AT315" t="s">
        <v>4357</v>
      </c>
      <c r="AU315">
        <v>2005</v>
      </c>
      <c r="AV315">
        <v>28</v>
      </c>
      <c r="AW315">
        <v>5</v>
      </c>
      <c r="AX315" t="s">
        <v>74</v>
      </c>
      <c r="AY315" t="s">
        <v>74</v>
      </c>
      <c r="AZ315" t="s">
        <v>74</v>
      </c>
      <c r="BA315" t="s">
        <v>74</v>
      </c>
      <c r="BB315">
        <v>388</v>
      </c>
      <c r="BC315">
        <v>394</v>
      </c>
      <c r="BD315" t="s">
        <v>74</v>
      </c>
      <c r="BE315" t="s">
        <v>5040</v>
      </c>
      <c r="BF315" t="str">
        <f>HYPERLINK("http://dx.doi.org/10.1007/s00300-004-0695-0","http://dx.doi.org/10.1007/s00300-004-0695-0")</f>
        <v>http://dx.doi.org/10.1007/s00300-004-0695-0</v>
      </c>
      <c r="BG315" t="s">
        <v>74</v>
      </c>
      <c r="BH315" t="s">
        <v>74</v>
      </c>
      <c r="BI315">
        <v>7</v>
      </c>
      <c r="BJ315" t="s">
        <v>140</v>
      </c>
      <c r="BK315" t="s">
        <v>95</v>
      </c>
      <c r="BL315" t="s">
        <v>141</v>
      </c>
      <c r="BM315" t="s">
        <v>5005</v>
      </c>
      <c r="BN315" t="s">
        <v>74</v>
      </c>
      <c r="BO315" t="s">
        <v>74</v>
      </c>
      <c r="BP315" t="s">
        <v>74</v>
      </c>
      <c r="BQ315" t="s">
        <v>74</v>
      </c>
      <c r="BR315" t="s">
        <v>97</v>
      </c>
      <c r="BS315" t="s">
        <v>5041</v>
      </c>
      <c r="BT315" t="str">
        <f>HYPERLINK("https%3A%2F%2Fwww.webofscience.com%2Fwos%2Fwoscc%2Ffull-record%2FWOS:000228234800005","View Full Record in Web of Science")</f>
        <v>View Full Record in Web of Science</v>
      </c>
    </row>
    <row r="316" spans="1:72" x14ac:dyDescent="0.15">
      <c r="A316" t="s">
        <v>72</v>
      </c>
      <c r="B316" t="s">
        <v>5042</v>
      </c>
      <c r="C316" t="s">
        <v>74</v>
      </c>
      <c r="D316" t="s">
        <v>74</v>
      </c>
      <c r="E316" t="s">
        <v>74</v>
      </c>
      <c r="F316" t="s">
        <v>5042</v>
      </c>
      <c r="G316" t="s">
        <v>74</v>
      </c>
      <c r="H316" t="s">
        <v>74</v>
      </c>
      <c r="I316" t="s">
        <v>5043</v>
      </c>
      <c r="J316" t="s">
        <v>124</v>
      </c>
      <c r="K316" t="s">
        <v>74</v>
      </c>
      <c r="L316" t="s">
        <v>74</v>
      </c>
      <c r="M316" t="s">
        <v>77</v>
      </c>
      <c r="N316" t="s">
        <v>78</v>
      </c>
      <c r="O316" t="s">
        <v>74</v>
      </c>
      <c r="P316" t="s">
        <v>74</v>
      </c>
      <c r="Q316" t="s">
        <v>74</v>
      </c>
      <c r="R316" t="s">
        <v>74</v>
      </c>
      <c r="S316" t="s">
        <v>74</v>
      </c>
      <c r="T316" t="s">
        <v>74</v>
      </c>
      <c r="U316" t="s">
        <v>5044</v>
      </c>
      <c r="V316" t="s">
        <v>5045</v>
      </c>
      <c r="W316" t="s">
        <v>5046</v>
      </c>
      <c r="X316" t="s">
        <v>189</v>
      </c>
      <c r="Y316" t="s">
        <v>5047</v>
      </c>
      <c r="Z316" t="s">
        <v>5048</v>
      </c>
      <c r="AA316" t="s">
        <v>5049</v>
      </c>
      <c r="AB316" t="s">
        <v>5050</v>
      </c>
      <c r="AC316" t="s">
        <v>74</v>
      </c>
      <c r="AD316" t="s">
        <v>74</v>
      </c>
      <c r="AE316" t="s">
        <v>74</v>
      </c>
      <c r="AF316" t="s">
        <v>74</v>
      </c>
      <c r="AG316">
        <v>51</v>
      </c>
      <c r="AH316">
        <v>13</v>
      </c>
      <c r="AI316">
        <v>16</v>
      </c>
      <c r="AJ316">
        <v>0</v>
      </c>
      <c r="AK316">
        <v>9</v>
      </c>
      <c r="AL316" t="s">
        <v>133</v>
      </c>
      <c r="AM316" t="s">
        <v>134</v>
      </c>
      <c r="AN316" t="s">
        <v>135</v>
      </c>
      <c r="AO316" t="s">
        <v>136</v>
      </c>
      <c r="AP316" t="s">
        <v>74</v>
      </c>
      <c r="AQ316" t="s">
        <v>74</v>
      </c>
      <c r="AR316" t="s">
        <v>137</v>
      </c>
      <c r="AS316" t="s">
        <v>138</v>
      </c>
      <c r="AT316" t="s">
        <v>4357</v>
      </c>
      <c r="AU316">
        <v>2005</v>
      </c>
      <c r="AV316">
        <v>28</v>
      </c>
      <c r="AW316">
        <v>5</v>
      </c>
      <c r="AX316" t="s">
        <v>74</v>
      </c>
      <c r="AY316" t="s">
        <v>74</v>
      </c>
      <c r="AZ316" t="s">
        <v>74</v>
      </c>
      <c r="BA316" t="s">
        <v>74</v>
      </c>
      <c r="BB316">
        <v>395</v>
      </c>
      <c r="BC316">
        <v>401</v>
      </c>
      <c r="BD316" t="s">
        <v>74</v>
      </c>
      <c r="BE316" t="s">
        <v>5051</v>
      </c>
      <c r="BF316" t="str">
        <f>HYPERLINK("http://dx.doi.org/10.1007/s00300-004-0694-1","http://dx.doi.org/10.1007/s00300-004-0694-1")</f>
        <v>http://dx.doi.org/10.1007/s00300-004-0694-1</v>
      </c>
      <c r="BG316" t="s">
        <v>74</v>
      </c>
      <c r="BH316" t="s">
        <v>74</v>
      </c>
      <c r="BI316">
        <v>7</v>
      </c>
      <c r="BJ316" t="s">
        <v>140</v>
      </c>
      <c r="BK316" t="s">
        <v>95</v>
      </c>
      <c r="BL316" t="s">
        <v>141</v>
      </c>
      <c r="BM316" t="s">
        <v>5005</v>
      </c>
      <c r="BN316" t="s">
        <v>74</v>
      </c>
      <c r="BO316" t="s">
        <v>74</v>
      </c>
      <c r="BP316" t="s">
        <v>74</v>
      </c>
      <c r="BQ316" t="s">
        <v>74</v>
      </c>
      <c r="BR316" t="s">
        <v>97</v>
      </c>
      <c r="BS316" t="s">
        <v>5052</v>
      </c>
      <c r="BT316" t="str">
        <f>HYPERLINK("https%3A%2F%2Fwww.webofscience.com%2Fwos%2Fwoscc%2Ffull-record%2FWOS:000228234800006","View Full Record in Web of Science")</f>
        <v>View Full Record in Web of Science</v>
      </c>
    </row>
    <row r="317" spans="1:72" x14ac:dyDescent="0.15">
      <c r="A317" t="s">
        <v>72</v>
      </c>
      <c r="B317" t="s">
        <v>5053</v>
      </c>
      <c r="C317" t="s">
        <v>74</v>
      </c>
      <c r="D317" t="s">
        <v>74</v>
      </c>
      <c r="E317" t="s">
        <v>74</v>
      </c>
      <c r="F317" t="s">
        <v>5053</v>
      </c>
      <c r="G317" t="s">
        <v>74</v>
      </c>
      <c r="H317" t="s">
        <v>74</v>
      </c>
      <c r="I317" t="s">
        <v>5054</v>
      </c>
      <c r="J317" t="s">
        <v>208</v>
      </c>
      <c r="K317" t="s">
        <v>74</v>
      </c>
      <c r="L317" t="s">
        <v>74</v>
      </c>
      <c r="M317" t="s">
        <v>77</v>
      </c>
      <c r="N317" t="s">
        <v>78</v>
      </c>
      <c r="O317" t="s">
        <v>74</v>
      </c>
      <c r="P317" t="s">
        <v>74</v>
      </c>
      <c r="Q317" t="s">
        <v>74</v>
      </c>
      <c r="R317" t="s">
        <v>74</v>
      </c>
      <c r="S317" t="s">
        <v>74</v>
      </c>
      <c r="T317" t="s">
        <v>74</v>
      </c>
      <c r="U317" t="s">
        <v>74</v>
      </c>
      <c r="V317" t="s">
        <v>5055</v>
      </c>
      <c r="W317" t="s">
        <v>5056</v>
      </c>
      <c r="X317" t="s">
        <v>349</v>
      </c>
      <c r="Y317" t="s">
        <v>5057</v>
      </c>
      <c r="Z317" t="s">
        <v>74</v>
      </c>
      <c r="AA317" t="s">
        <v>74</v>
      </c>
      <c r="AB317" t="s">
        <v>74</v>
      </c>
      <c r="AC317" t="s">
        <v>74</v>
      </c>
      <c r="AD317" t="s">
        <v>74</v>
      </c>
      <c r="AE317" t="s">
        <v>74</v>
      </c>
      <c r="AF317" t="s">
        <v>74</v>
      </c>
      <c r="AG317">
        <v>41</v>
      </c>
      <c r="AH317">
        <v>7</v>
      </c>
      <c r="AI317">
        <v>7</v>
      </c>
      <c r="AJ317">
        <v>0</v>
      </c>
      <c r="AK317">
        <v>3</v>
      </c>
      <c r="AL317" t="s">
        <v>212</v>
      </c>
      <c r="AM317" t="s">
        <v>134</v>
      </c>
      <c r="AN317" t="s">
        <v>236</v>
      </c>
      <c r="AO317" t="s">
        <v>214</v>
      </c>
      <c r="AP317" t="s">
        <v>5058</v>
      </c>
      <c r="AQ317" t="s">
        <v>74</v>
      </c>
      <c r="AR317" t="s">
        <v>215</v>
      </c>
      <c r="AS317" t="s">
        <v>216</v>
      </c>
      <c r="AT317" t="s">
        <v>4357</v>
      </c>
      <c r="AU317">
        <v>2005</v>
      </c>
      <c r="AV317">
        <v>41</v>
      </c>
      <c r="AW317">
        <v>217</v>
      </c>
      <c r="AX317" t="s">
        <v>74</v>
      </c>
      <c r="AY317" t="s">
        <v>74</v>
      </c>
      <c r="AZ317" t="s">
        <v>74</v>
      </c>
      <c r="BA317" t="s">
        <v>74</v>
      </c>
      <c r="BB317">
        <v>103</v>
      </c>
      <c r="BC317">
        <v>112</v>
      </c>
      <c r="BD317" t="s">
        <v>74</v>
      </c>
      <c r="BE317" t="s">
        <v>5059</v>
      </c>
      <c r="BF317" t="str">
        <f>HYPERLINK("http://dx.doi.org/10.1017/S0032247405004249","http://dx.doi.org/10.1017/S0032247405004249")</f>
        <v>http://dx.doi.org/10.1017/S0032247405004249</v>
      </c>
      <c r="BG317" t="s">
        <v>74</v>
      </c>
      <c r="BH317" t="s">
        <v>74</v>
      </c>
      <c r="BI317">
        <v>10</v>
      </c>
      <c r="BJ317" t="s">
        <v>218</v>
      </c>
      <c r="BK317" t="s">
        <v>95</v>
      </c>
      <c r="BL317" t="s">
        <v>219</v>
      </c>
      <c r="BM317" t="s">
        <v>5060</v>
      </c>
      <c r="BN317" t="s">
        <v>74</v>
      </c>
      <c r="BO317" t="s">
        <v>74</v>
      </c>
      <c r="BP317" t="s">
        <v>74</v>
      </c>
      <c r="BQ317" t="s">
        <v>74</v>
      </c>
      <c r="BR317" t="s">
        <v>97</v>
      </c>
      <c r="BS317" t="s">
        <v>5061</v>
      </c>
      <c r="BT317" t="str">
        <f>HYPERLINK("https%3A%2F%2Fwww.webofscience.com%2Fwos%2Fwoscc%2Ffull-record%2FWOS:000230014000002","View Full Record in Web of Science")</f>
        <v>View Full Record in Web of Science</v>
      </c>
    </row>
    <row r="318" spans="1:72" x14ac:dyDescent="0.15">
      <c r="A318" t="s">
        <v>72</v>
      </c>
      <c r="B318" t="s">
        <v>5062</v>
      </c>
      <c r="C318" t="s">
        <v>74</v>
      </c>
      <c r="D318" t="s">
        <v>74</v>
      </c>
      <c r="E318" t="s">
        <v>74</v>
      </c>
      <c r="F318" t="s">
        <v>5062</v>
      </c>
      <c r="G318" t="s">
        <v>74</v>
      </c>
      <c r="H318" t="s">
        <v>74</v>
      </c>
      <c r="I318" t="s">
        <v>5063</v>
      </c>
      <c r="J318" t="s">
        <v>208</v>
      </c>
      <c r="K318" t="s">
        <v>74</v>
      </c>
      <c r="L318" t="s">
        <v>74</v>
      </c>
      <c r="M318" t="s">
        <v>77</v>
      </c>
      <c r="N318" t="s">
        <v>78</v>
      </c>
      <c r="O318" t="s">
        <v>74</v>
      </c>
      <c r="P318" t="s">
        <v>74</v>
      </c>
      <c r="Q318" t="s">
        <v>74</v>
      </c>
      <c r="R318" t="s">
        <v>74</v>
      </c>
      <c r="S318" t="s">
        <v>74</v>
      </c>
      <c r="T318" t="s">
        <v>74</v>
      </c>
      <c r="U318" t="s">
        <v>74</v>
      </c>
      <c r="V318" t="s">
        <v>5064</v>
      </c>
      <c r="W318" t="s">
        <v>5065</v>
      </c>
      <c r="X318" t="s">
        <v>4903</v>
      </c>
      <c r="Y318" t="s">
        <v>5066</v>
      </c>
      <c r="Z318" t="s">
        <v>74</v>
      </c>
      <c r="AA318" t="s">
        <v>5067</v>
      </c>
      <c r="AB318" t="s">
        <v>5068</v>
      </c>
      <c r="AC318" t="s">
        <v>74</v>
      </c>
      <c r="AD318" t="s">
        <v>74</v>
      </c>
      <c r="AE318" t="s">
        <v>74</v>
      </c>
      <c r="AF318" t="s">
        <v>74</v>
      </c>
      <c r="AG318">
        <v>72</v>
      </c>
      <c r="AH318">
        <v>14</v>
      </c>
      <c r="AI318">
        <v>16</v>
      </c>
      <c r="AJ318">
        <v>0</v>
      </c>
      <c r="AK318">
        <v>4</v>
      </c>
      <c r="AL318" t="s">
        <v>212</v>
      </c>
      <c r="AM318" t="s">
        <v>134</v>
      </c>
      <c r="AN318" t="s">
        <v>236</v>
      </c>
      <c r="AO318" t="s">
        <v>214</v>
      </c>
      <c r="AP318" t="s">
        <v>5058</v>
      </c>
      <c r="AQ318" t="s">
        <v>74</v>
      </c>
      <c r="AR318" t="s">
        <v>215</v>
      </c>
      <c r="AS318" t="s">
        <v>216</v>
      </c>
      <c r="AT318" t="s">
        <v>4357</v>
      </c>
      <c r="AU318">
        <v>2005</v>
      </c>
      <c r="AV318">
        <v>41</v>
      </c>
      <c r="AW318">
        <v>217</v>
      </c>
      <c r="AX318" t="s">
        <v>74</v>
      </c>
      <c r="AY318" t="s">
        <v>74</v>
      </c>
      <c r="AZ318" t="s">
        <v>74</v>
      </c>
      <c r="BA318" t="s">
        <v>74</v>
      </c>
      <c r="BB318">
        <v>113</v>
      </c>
      <c r="BC318">
        <v>124</v>
      </c>
      <c r="BD318" t="s">
        <v>74</v>
      </c>
      <c r="BE318" t="s">
        <v>5069</v>
      </c>
      <c r="BF318" t="str">
        <f>HYPERLINK("http://dx.doi.org/10.1017/S0032247405004262","http://dx.doi.org/10.1017/S0032247405004262")</f>
        <v>http://dx.doi.org/10.1017/S0032247405004262</v>
      </c>
      <c r="BG318" t="s">
        <v>74</v>
      </c>
      <c r="BH318" t="s">
        <v>74</v>
      </c>
      <c r="BI318">
        <v>12</v>
      </c>
      <c r="BJ318" t="s">
        <v>218</v>
      </c>
      <c r="BK318" t="s">
        <v>95</v>
      </c>
      <c r="BL318" t="s">
        <v>219</v>
      </c>
      <c r="BM318" t="s">
        <v>5060</v>
      </c>
      <c r="BN318" t="s">
        <v>74</v>
      </c>
      <c r="BO318" t="s">
        <v>74</v>
      </c>
      <c r="BP318" t="s">
        <v>74</v>
      </c>
      <c r="BQ318" t="s">
        <v>74</v>
      </c>
      <c r="BR318" t="s">
        <v>97</v>
      </c>
      <c r="BS318" t="s">
        <v>5070</v>
      </c>
      <c r="BT318" t="str">
        <f>HYPERLINK("https%3A%2F%2Fwww.webofscience.com%2Fwos%2Fwoscc%2Ffull-record%2FWOS:000230014000003","View Full Record in Web of Science")</f>
        <v>View Full Record in Web of Science</v>
      </c>
    </row>
    <row r="319" spans="1:72" x14ac:dyDescent="0.15">
      <c r="A319" t="s">
        <v>72</v>
      </c>
      <c r="B319" t="s">
        <v>5071</v>
      </c>
      <c r="C319" t="s">
        <v>74</v>
      </c>
      <c r="D319" t="s">
        <v>74</v>
      </c>
      <c r="E319" t="s">
        <v>74</v>
      </c>
      <c r="F319" t="s">
        <v>5071</v>
      </c>
      <c r="G319" t="s">
        <v>74</v>
      </c>
      <c r="H319" t="s">
        <v>74</v>
      </c>
      <c r="I319" t="s">
        <v>5072</v>
      </c>
      <c r="J319" t="s">
        <v>208</v>
      </c>
      <c r="K319" t="s">
        <v>74</v>
      </c>
      <c r="L319" t="s">
        <v>74</v>
      </c>
      <c r="M319" t="s">
        <v>77</v>
      </c>
      <c r="N319" t="s">
        <v>78</v>
      </c>
      <c r="O319" t="s">
        <v>74</v>
      </c>
      <c r="P319" t="s">
        <v>74</v>
      </c>
      <c r="Q319" t="s">
        <v>74</v>
      </c>
      <c r="R319" t="s">
        <v>74</v>
      </c>
      <c r="S319" t="s">
        <v>74</v>
      </c>
      <c r="T319" t="s">
        <v>74</v>
      </c>
      <c r="U319" t="s">
        <v>74</v>
      </c>
      <c r="V319" t="s">
        <v>5073</v>
      </c>
      <c r="W319" t="s">
        <v>74</v>
      </c>
      <c r="X319" t="s">
        <v>74</v>
      </c>
      <c r="Y319" t="s">
        <v>5074</v>
      </c>
      <c r="Z319" t="s">
        <v>74</v>
      </c>
      <c r="AA319" t="s">
        <v>74</v>
      </c>
      <c r="AB319" t="s">
        <v>74</v>
      </c>
      <c r="AC319" t="s">
        <v>74</v>
      </c>
      <c r="AD319" t="s">
        <v>74</v>
      </c>
      <c r="AE319" t="s">
        <v>74</v>
      </c>
      <c r="AF319" t="s">
        <v>74</v>
      </c>
      <c r="AG319">
        <v>12</v>
      </c>
      <c r="AH319">
        <v>3</v>
      </c>
      <c r="AI319">
        <v>3</v>
      </c>
      <c r="AJ319">
        <v>1</v>
      </c>
      <c r="AK319">
        <v>2</v>
      </c>
      <c r="AL319" t="s">
        <v>212</v>
      </c>
      <c r="AM319" t="s">
        <v>134</v>
      </c>
      <c r="AN319" t="s">
        <v>213</v>
      </c>
      <c r="AO319" t="s">
        <v>214</v>
      </c>
      <c r="AP319" t="s">
        <v>74</v>
      </c>
      <c r="AQ319" t="s">
        <v>74</v>
      </c>
      <c r="AR319" t="s">
        <v>215</v>
      </c>
      <c r="AS319" t="s">
        <v>216</v>
      </c>
      <c r="AT319" t="s">
        <v>4357</v>
      </c>
      <c r="AU319">
        <v>2005</v>
      </c>
      <c r="AV319">
        <v>41</v>
      </c>
      <c r="AW319">
        <v>217</v>
      </c>
      <c r="AX319" t="s">
        <v>74</v>
      </c>
      <c r="AY319" t="s">
        <v>74</v>
      </c>
      <c r="AZ319" t="s">
        <v>74</v>
      </c>
      <c r="BA319" t="s">
        <v>74</v>
      </c>
      <c r="BB319">
        <v>131</v>
      </c>
      <c r="BC319">
        <v>140</v>
      </c>
      <c r="BD319" t="s">
        <v>74</v>
      </c>
      <c r="BE319" t="s">
        <v>5075</v>
      </c>
      <c r="BF319" t="str">
        <f>HYPERLINK("http://dx.doi.org/10.1017/S0032247405004237","http://dx.doi.org/10.1017/S0032247405004237")</f>
        <v>http://dx.doi.org/10.1017/S0032247405004237</v>
      </c>
      <c r="BG319" t="s">
        <v>74</v>
      </c>
      <c r="BH319" t="s">
        <v>74</v>
      </c>
      <c r="BI319">
        <v>10</v>
      </c>
      <c r="BJ319" t="s">
        <v>218</v>
      </c>
      <c r="BK319" t="s">
        <v>95</v>
      </c>
      <c r="BL319" t="s">
        <v>219</v>
      </c>
      <c r="BM319" t="s">
        <v>5060</v>
      </c>
      <c r="BN319" t="s">
        <v>74</v>
      </c>
      <c r="BO319" t="s">
        <v>74</v>
      </c>
      <c r="BP319" t="s">
        <v>74</v>
      </c>
      <c r="BQ319" t="s">
        <v>74</v>
      </c>
      <c r="BR319" t="s">
        <v>97</v>
      </c>
      <c r="BS319" t="s">
        <v>5076</v>
      </c>
      <c r="BT319" t="str">
        <f>HYPERLINK("https%3A%2F%2Fwww.webofscience.com%2Fwos%2Fwoscc%2Ffull-record%2FWOS:000230014000005","View Full Record in Web of Science")</f>
        <v>View Full Record in Web of Science</v>
      </c>
    </row>
    <row r="320" spans="1:72" x14ac:dyDescent="0.15">
      <c r="A320" t="s">
        <v>72</v>
      </c>
      <c r="B320" t="s">
        <v>5077</v>
      </c>
      <c r="C320" t="s">
        <v>74</v>
      </c>
      <c r="D320" t="s">
        <v>74</v>
      </c>
      <c r="E320" t="s">
        <v>74</v>
      </c>
      <c r="F320" t="s">
        <v>5077</v>
      </c>
      <c r="G320" t="s">
        <v>74</v>
      </c>
      <c r="H320" t="s">
        <v>74</v>
      </c>
      <c r="I320" t="s">
        <v>5078</v>
      </c>
      <c r="J320" t="s">
        <v>208</v>
      </c>
      <c r="K320" t="s">
        <v>74</v>
      </c>
      <c r="L320" t="s">
        <v>74</v>
      </c>
      <c r="M320" t="s">
        <v>77</v>
      </c>
      <c r="N320" t="s">
        <v>249</v>
      </c>
      <c r="O320" t="s">
        <v>74</v>
      </c>
      <c r="P320" t="s">
        <v>74</v>
      </c>
      <c r="Q320" t="s">
        <v>74</v>
      </c>
      <c r="R320" t="s">
        <v>74</v>
      </c>
      <c r="S320" t="s">
        <v>74</v>
      </c>
      <c r="T320" t="s">
        <v>74</v>
      </c>
      <c r="U320" t="s">
        <v>74</v>
      </c>
      <c r="V320" t="s">
        <v>5079</v>
      </c>
      <c r="W320" t="s">
        <v>74</v>
      </c>
      <c r="X320" t="s">
        <v>74</v>
      </c>
      <c r="Y320" t="s">
        <v>74</v>
      </c>
      <c r="Z320" t="s">
        <v>74</v>
      </c>
      <c r="AA320" t="s">
        <v>74</v>
      </c>
      <c r="AB320" t="s">
        <v>74</v>
      </c>
      <c r="AC320" t="s">
        <v>74</v>
      </c>
      <c r="AD320" t="s">
        <v>74</v>
      </c>
      <c r="AE320" t="s">
        <v>74</v>
      </c>
      <c r="AF320" t="s">
        <v>74</v>
      </c>
      <c r="AG320">
        <v>2</v>
      </c>
      <c r="AH320">
        <v>0</v>
      </c>
      <c r="AI320">
        <v>0</v>
      </c>
      <c r="AJ320">
        <v>0</v>
      </c>
      <c r="AK320">
        <v>0</v>
      </c>
      <c r="AL320" t="s">
        <v>212</v>
      </c>
      <c r="AM320" t="s">
        <v>134</v>
      </c>
      <c r="AN320" t="s">
        <v>213</v>
      </c>
      <c r="AO320" t="s">
        <v>214</v>
      </c>
      <c r="AP320" t="s">
        <v>74</v>
      </c>
      <c r="AQ320" t="s">
        <v>74</v>
      </c>
      <c r="AR320" t="s">
        <v>215</v>
      </c>
      <c r="AS320" t="s">
        <v>216</v>
      </c>
      <c r="AT320" t="s">
        <v>4357</v>
      </c>
      <c r="AU320">
        <v>2005</v>
      </c>
      <c r="AV320">
        <v>41</v>
      </c>
      <c r="AW320">
        <v>217</v>
      </c>
      <c r="AX320" t="s">
        <v>74</v>
      </c>
      <c r="AY320" t="s">
        <v>74</v>
      </c>
      <c r="AZ320" t="s">
        <v>74</v>
      </c>
      <c r="BA320" t="s">
        <v>74</v>
      </c>
      <c r="BB320">
        <v>160</v>
      </c>
      <c r="BC320">
        <v>160</v>
      </c>
      <c r="BD320" t="s">
        <v>74</v>
      </c>
      <c r="BE320" t="s">
        <v>5080</v>
      </c>
      <c r="BF320" t="str">
        <f>HYPERLINK("http://dx.doi.org/10.1017/S0032247404224214","http://dx.doi.org/10.1017/S0032247404224214")</f>
        <v>http://dx.doi.org/10.1017/S0032247404224214</v>
      </c>
      <c r="BG320" t="s">
        <v>74</v>
      </c>
      <c r="BH320" t="s">
        <v>74</v>
      </c>
      <c r="BI320">
        <v>1</v>
      </c>
      <c r="BJ320" t="s">
        <v>218</v>
      </c>
      <c r="BK320" t="s">
        <v>95</v>
      </c>
      <c r="BL320" t="s">
        <v>219</v>
      </c>
      <c r="BM320" t="s">
        <v>5060</v>
      </c>
      <c r="BN320" t="s">
        <v>74</v>
      </c>
      <c r="BO320" t="s">
        <v>74</v>
      </c>
      <c r="BP320" t="s">
        <v>74</v>
      </c>
      <c r="BQ320" t="s">
        <v>74</v>
      </c>
      <c r="BR320" t="s">
        <v>97</v>
      </c>
      <c r="BS320" t="s">
        <v>5081</v>
      </c>
      <c r="BT320" t="str">
        <f>HYPERLINK("https%3A%2F%2Fwww.webofscience.com%2Fwos%2Fwoscc%2Ffull-record%2FWOS:000230014000008","View Full Record in Web of Science")</f>
        <v>View Full Record in Web of Science</v>
      </c>
    </row>
    <row r="321" spans="1:72" x14ac:dyDescent="0.15">
      <c r="A321" t="s">
        <v>72</v>
      </c>
      <c r="B321" t="s">
        <v>5082</v>
      </c>
      <c r="C321" t="s">
        <v>74</v>
      </c>
      <c r="D321" t="s">
        <v>74</v>
      </c>
      <c r="E321" t="s">
        <v>74</v>
      </c>
      <c r="F321" t="s">
        <v>5082</v>
      </c>
      <c r="G321" t="s">
        <v>74</v>
      </c>
      <c r="H321" t="s">
        <v>74</v>
      </c>
      <c r="I321" t="s">
        <v>5083</v>
      </c>
      <c r="J321" t="s">
        <v>5084</v>
      </c>
      <c r="K321" t="s">
        <v>74</v>
      </c>
      <c r="L321" t="s">
        <v>74</v>
      </c>
      <c r="M321" t="s">
        <v>77</v>
      </c>
      <c r="N321" t="s">
        <v>78</v>
      </c>
      <c r="O321" t="s">
        <v>74</v>
      </c>
      <c r="P321" t="s">
        <v>74</v>
      </c>
      <c r="Q321" t="s">
        <v>74</v>
      </c>
      <c r="R321" t="s">
        <v>74</v>
      </c>
      <c r="S321" t="s">
        <v>74</v>
      </c>
      <c r="T321" t="s">
        <v>5085</v>
      </c>
      <c r="U321" t="s">
        <v>5086</v>
      </c>
      <c r="V321" t="s">
        <v>5087</v>
      </c>
      <c r="W321" t="s">
        <v>5088</v>
      </c>
      <c r="X321" t="s">
        <v>5089</v>
      </c>
      <c r="Y321" t="s">
        <v>5090</v>
      </c>
      <c r="Z321" t="s">
        <v>5091</v>
      </c>
      <c r="AA321" t="s">
        <v>74</v>
      </c>
      <c r="AB321" t="s">
        <v>5092</v>
      </c>
      <c r="AC321" t="s">
        <v>5093</v>
      </c>
      <c r="AD321" t="s">
        <v>2639</v>
      </c>
      <c r="AE321" t="s">
        <v>74</v>
      </c>
      <c r="AF321" t="s">
        <v>74</v>
      </c>
      <c r="AG321">
        <v>69</v>
      </c>
      <c r="AH321">
        <v>7</v>
      </c>
      <c r="AI321">
        <v>9</v>
      </c>
      <c r="AJ321">
        <v>0</v>
      </c>
      <c r="AK321">
        <v>6</v>
      </c>
      <c r="AL321" t="s">
        <v>5094</v>
      </c>
      <c r="AM321" t="s">
        <v>5095</v>
      </c>
      <c r="AN321" t="s">
        <v>5096</v>
      </c>
      <c r="AO321" t="s">
        <v>5097</v>
      </c>
      <c r="AP321" t="s">
        <v>74</v>
      </c>
      <c r="AQ321" t="s">
        <v>74</v>
      </c>
      <c r="AR321" t="s">
        <v>5098</v>
      </c>
      <c r="AS321" t="s">
        <v>5099</v>
      </c>
      <c r="AT321" t="s">
        <v>4357</v>
      </c>
      <c r="AU321">
        <v>2005</v>
      </c>
      <c r="AV321">
        <v>131</v>
      </c>
      <c r="AW321">
        <v>607</v>
      </c>
      <c r="AX321" t="s">
        <v>5100</v>
      </c>
      <c r="AY321" t="s">
        <v>74</v>
      </c>
      <c r="AZ321" t="s">
        <v>74</v>
      </c>
      <c r="BA321" t="s">
        <v>74</v>
      </c>
      <c r="BB321">
        <v>833</v>
      </c>
      <c r="BC321">
        <v>860</v>
      </c>
      <c r="BD321" t="s">
        <v>74</v>
      </c>
      <c r="BE321" t="s">
        <v>5101</v>
      </c>
      <c r="BF321" t="str">
        <f>HYPERLINK("http://dx.doi.org/10.1256/qj.03.213","http://dx.doi.org/10.1256/qj.03.213")</f>
        <v>http://dx.doi.org/10.1256/qj.03.213</v>
      </c>
      <c r="BG321" t="s">
        <v>74</v>
      </c>
      <c r="BH321" t="s">
        <v>74</v>
      </c>
      <c r="BI321">
        <v>28</v>
      </c>
      <c r="BJ321" t="s">
        <v>401</v>
      </c>
      <c r="BK321" t="s">
        <v>95</v>
      </c>
      <c r="BL321" t="s">
        <v>401</v>
      </c>
      <c r="BM321" t="s">
        <v>5102</v>
      </c>
      <c r="BN321" t="s">
        <v>74</v>
      </c>
      <c r="BO321" t="s">
        <v>74</v>
      </c>
      <c r="BP321" t="s">
        <v>74</v>
      </c>
      <c r="BQ321" t="s">
        <v>74</v>
      </c>
      <c r="BR321" t="s">
        <v>97</v>
      </c>
      <c r="BS321" t="s">
        <v>5103</v>
      </c>
      <c r="BT321" t="str">
        <f>HYPERLINK("https%3A%2F%2Fwww.webofscience.com%2Fwos%2Fwoscc%2Ffull-record%2FWOS:000228964200003","View Full Record in Web of Science")</f>
        <v>View Full Record in Web of Science</v>
      </c>
    </row>
    <row r="322" spans="1:72" x14ac:dyDescent="0.15">
      <c r="A322" t="s">
        <v>72</v>
      </c>
      <c r="B322" t="s">
        <v>5104</v>
      </c>
      <c r="C322" t="s">
        <v>74</v>
      </c>
      <c r="D322" t="s">
        <v>74</v>
      </c>
      <c r="E322" t="s">
        <v>74</v>
      </c>
      <c r="F322" t="s">
        <v>5104</v>
      </c>
      <c r="G322" t="s">
        <v>74</v>
      </c>
      <c r="H322" t="s">
        <v>74</v>
      </c>
      <c r="I322" t="s">
        <v>5105</v>
      </c>
      <c r="J322" t="s">
        <v>5084</v>
      </c>
      <c r="K322" t="s">
        <v>74</v>
      </c>
      <c r="L322" t="s">
        <v>74</v>
      </c>
      <c r="M322" t="s">
        <v>77</v>
      </c>
      <c r="N322" t="s">
        <v>78</v>
      </c>
      <c r="O322" t="s">
        <v>74</v>
      </c>
      <c r="P322" t="s">
        <v>74</v>
      </c>
      <c r="Q322" t="s">
        <v>74</v>
      </c>
      <c r="R322" t="s">
        <v>74</v>
      </c>
      <c r="S322" t="s">
        <v>74</v>
      </c>
      <c r="T322" t="s">
        <v>5106</v>
      </c>
      <c r="U322" t="s">
        <v>5107</v>
      </c>
      <c r="V322" t="s">
        <v>5108</v>
      </c>
      <c r="W322" t="s">
        <v>5109</v>
      </c>
      <c r="X322" t="s">
        <v>5110</v>
      </c>
      <c r="Y322" t="s">
        <v>5111</v>
      </c>
      <c r="Z322" t="s">
        <v>5112</v>
      </c>
      <c r="AA322" t="s">
        <v>74</v>
      </c>
      <c r="AB322" t="s">
        <v>5113</v>
      </c>
      <c r="AC322" t="s">
        <v>74</v>
      </c>
      <c r="AD322" t="s">
        <v>74</v>
      </c>
      <c r="AE322" t="s">
        <v>74</v>
      </c>
      <c r="AF322" t="s">
        <v>74</v>
      </c>
      <c r="AG322">
        <v>34</v>
      </c>
      <c r="AH322">
        <v>9</v>
      </c>
      <c r="AI322">
        <v>9</v>
      </c>
      <c r="AJ322">
        <v>0</v>
      </c>
      <c r="AK322">
        <v>2</v>
      </c>
      <c r="AL322" t="s">
        <v>5094</v>
      </c>
      <c r="AM322" t="s">
        <v>5095</v>
      </c>
      <c r="AN322" t="s">
        <v>5096</v>
      </c>
      <c r="AO322" t="s">
        <v>5097</v>
      </c>
      <c r="AP322" t="s">
        <v>74</v>
      </c>
      <c r="AQ322" t="s">
        <v>74</v>
      </c>
      <c r="AR322" t="s">
        <v>5098</v>
      </c>
      <c r="AS322" t="s">
        <v>5099</v>
      </c>
      <c r="AT322" t="s">
        <v>4357</v>
      </c>
      <c r="AU322">
        <v>2005</v>
      </c>
      <c r="AV322">
        <v>131</v>
      </c>
      <c r="AW322">
        <v>608</v>
      </c>
      <c r="AX322" t="s">
        <v>5114</v>
      </c>
      <c r="AY322" t="s">
        <v>74</v>
      </c>
      <c r="AZ322" t="s">
        <v>74</v>
      </c>
      <c r="BA322" t="s">
        <v>74</v>
      </c>
      <c r="BB322">
        <v>1483</v>
      </c>
      <c r="BC322">
        <v>1500</v>
      </c>
      <c r="BD322" t="s">
        <v>74</v>
      </c>
      <c r="BE322" t="s">
        <v>5115</v>
      </c>
      <c r="BF322" t="str">
        <f>HYPERLINK("http://dx.doi.org/10.1256/qj.03.168","http://dx.doi.org/10.1256/qj.03.168")</f>
        <v>http://dx.doi.org/10.1256/qj.03.168</v>
      </c>
      <c r="BG322" t="s">
        <v>74</v>
      </c>
      <c r="BH322" t="s">
        <v>74</v>
      </c>
      <c r="BI322">
        <v>18</v>
      </c>
      <c r="BJ322" t="s">
        <v>401</v>
      </c>
      <c r="BK322" t="s">
        <v>95</v>
      </c>
      <c r="BL322" t="s">
        <v>401</v>
      </c>
      <c r="BM322" t="s">
        <v>5116</v>
      </c>
      <c r="BN322" t="s">
        <v>74</v>
      </c>
      <c r="BO322" t="s">
        <v>74</v>
      </c>
      <c r="BP322" t="s">
        <v>74</v>
      </c>
      <c r="BQ322" t="s">
        <v>74</v>
      </c>
      <c r="BR322" t="s">
        <v>97</v>
      </c>
      <c r="BS322" t="s">
        <v>5117</v>
      </c>
      <c r="BT322" t="str">
        <f>HYPERLINK("https%3A%2F%2Fwww.webofscience.com%2Fwos%2Fwoscc%2Ffull-record%2FWOS:000230262500009","View Full Record in Web of Science")</f>
        <v>View Full Record in Web of Science</v>
      </c>
    </row>
    <row r="323" spans="1:72" x14ac:dyDescent="0.15">
      <c r="A323" t="s">
        <v>72</v>
      </c>
      <c r="B323" t="s">
        <v>5118</v>
      </c>
      <c r="C323" t="s">
        <v>74</v>
      </c>
      <c r="D323" t="s">
        <v>74</v>
      </c>
      <c r="E323" t="s">
        <v>74</v>
      </c>
      <c r="F323" t="s">
        <v>5118</v>
      </c>
      <c r="G323" t="s">
        <v>74</v>
      </c>
      <c r="H323" t="s">
        <v>74</v>
      </c>
      <c r="I323" t="s">
        <v>5119</v>
      </c>
      <c r="J323" t="s">
        <v>248</v>
      </c>
      <c r="K323" t="s">
        <v>74</v>
      </c>
      <c r="L323" t="s">
        <v>74</v>
      </c>
      <c r="M323" t="s">
        <v>77</v>
      </c>
      <c r="N323" t="s">
        <v>78</v>
      </c>
      <c r="O323" t="s">
        <v>74</v>
      </c>
      <c r="P323" t="s">
        <v>74</v>
      </c>
      <c r="Q323" t="s">
        <v>74</v>
      </c>
      <c r="R323" t="s">
        <v>74</v>
      </c>
      <c r="S323" t="s">
        <v>74</v>
      </c>
      <c r="T323" t="s">
        <v>74</v>
      </c>
      <c r="U323" t="s">
        <v>5120</v>
      </c>
      <c r="V323" t="s">
        <v>5121</v>
      </c>
      <c r="W323" t="s">
        <v>5122</v>
      </c>
      <c r="X323" t="s">
        <v>5123</v>
      </c>
      <c r="Y323" t="s">
        <v>5124</v>
      </c>
      <c r="Z323" t="s">
        <v>5125</v>
      </c>
      <c r="AA323" t="s">
        <v>5126</v>
      </c>
      <c r="AB323" t="s">
        <v>5127</v>
      </c>
      <c r="AC323" t="s">
        <v>74</v>
      </c>
      <c r="AD323" t="s">
        <v>74</v>
      </c>
      <c r="AE323" t="s">
        <v>74</v>
      </c>
      <c r="AF323" t="s">
        <v>74</v>
      </c>
      <c r="AG323">
        <v>77</v>
      </c>
      <c r="AH323">
        <v>413</v>
      </c>
      <c r="AI323">
        <v>456</v>
      </c>
      <c r="AJ323">
        <v>4</v>
      </c>
      <c r="AK323">
        <v>93</v>
      </c>
      <c r="AL323" t="s">
        <v>255</v>
      </c>
      <c r="AM323" t="s">
        <v>256</v>
      </c>
      <c r="AN323" t="s">
        <v>257</v>
      </c>
      <c r="AO323" t="s">
        <v>258</v>
      </c>
      <c r="AP323" t="s">
        <v>5128</v>
      </c>
      <c r="AQ323" t="s">
        <v>74</v>
      </c>
      <c r="AR323" t="s">
        <v>259</v>
      </c>
      <c r="AS323" t="s">
        <v>260</v>
      </c>
      <c r="AT323" t="s">
        <v>5129</v>
      </c>
      <c r="AU323">
        <v>2005</v>
      </c>
      <c r="AV323">
        <v>24</v>
      </c>
      <c r="AW323" t="s">
        <v>5130</v>
      </c>
      <c r="AX323" t="s">
        <v>74</v>
      </c>
      <c r="AY323" t="s">
        <v>74</v>
      </c>
      <c r="AZ323" t="s">
        <v>74</v>
      </c>
      <c r="BA323" t="s">
        <v>74</v>
      </c>
      <c r="BB323">
        <v>869</v>
      </c>
      <c r="BC323">
        <v>896</v>
      </c>
      <c r="BD323" t="s">
        <v>74</v>
      </c>
      <c r="BE323" t="s">
        <v>5131</v>
      </c>
      <c r="BF323" t="str">
        <f>HYPERLINK("http://dx.doi.org/10.1016/j.quascirev.2004.07.015","http://dx.doi.org/10.1016/j.quascirev.2004.07.015")</f>
        <v>http://dx.doi.org/10.1016/j.quascirev.2004.07.015</v>
      </c>
      <c r="BG323" t="s">
        <v>74</v>
      </c>
      <c r="BH323" t="s">
        <v>74</v>
      </c>
      <c r="BI323">
        <v>28</v>
      </c>
      <c r="BJ323" t="s">
        <v>242</v>
      </c>
      <c r="BK323" t="s">
        <v>95</v>
      </c>
      <c r="BL323" t="s">
        <v>243</v>
      </c>
      <c r="BM323" t="s">
        <v>5132</v>
      </c>
      <c r="BN323" t="s">
        <v>74</v>
      </c>
      <c r="BO323" t="s">
        <v>74</v>
      </c>
      <c r="BP323" t="s">
        <v>74</v>
      </c>
      <c r="BQ323" t="s">
        <v>74</v>
      </c>
      <c r="BR323" t="s">
        <v>97</v>
      </c>
      <c r="BS323" t="s">
        <v>5133</v>
      </c>
      <c r="BT323" t="str">
        <f>HYPERLINK("https%3A%2F%2Fwww.webofscience.com%2Fwos%2Fwoscc%2Ffull-record%2FWOS:000228256300005","View Full Record in Web of Science")</f>
        <v>View Full Record in Web of Science</v>
      </c>
    </row>
    <row r="324" spans="1:72" x14ac:dyDescent="0.15">
      <c r="A324" t="s">
        <v>72</v>
      </c>
      <c r="B324" t="s">
        <v>5134</v>
      </c>
      <c r="C324" t="s">
        <v>74</v>
      </c>
      <c r="D324" t="s">
        <v>74</v>
      </c>
      <c r="E324" t="s">
        <v>74</v>
      </c>
      <c r="F324" t="s">
        <v>5134</v>
      </c>
      <c r="G324" t="s">
        <v>74</v>
      </c>
      <c r="H324" t="s">
        <v>74</v>
      </c>
      <c r="I324" t="s">
        <v>5135</v>
      </c>
      <c r="J324" t="s">
        <v>248</v>
      </c>
      <c r="K324" t="s">
        <v>74</v>
      </c>
      <c r="L324" t="s">
        <v>74</v>
      </c>
      <c r="M324" t="s">
        <v>77</v>
      </c>
      <c r="N324" t="s">
        <v>365</v>
      </c>
      <c r="O324" t="s">
        <v>74</v>
      </c>
      <c r="P324" t="s">
        <v>74</v>
      </c>
      <c r="Q324" t="s">
        <v>74</v>
      </c>
      <c r="R324" t="s">
        <v>74</v>
      </c>
      <c r="S324" t="s">
        <v>74</v>
      </c>
      <c r="T324" t="s">
        <v>74</v>
      </c>
      <c r="U324" t="s">
        <v>5136</v>
      </c>
      <c r="V324" t="s">
        <v>5137</v>
      </c>
      <c r="W324" t="s">
        <v>5138</v>
      </c>
      <c r="X324" t="s">
        <v>5139</v>
      </c>
      <c r="Y324" t="s">
        <v>5140</v>
      </c>
      <c r="Z324" t="s">
        <v>5141</v>
      </c>
      <c r="AA324" t="s">
        <v>5142</v>
      </c>
      <c r="AB324" t="s">
        <v>74</v>
      </c>
      <c r="AC324" t="s">
        <v>74</v>
      </c>
      <c r="AD324" t="s">
        <v>74</v>
      </c>
      <c r="AE324" t="s">
        <v>74</v>
      </c>
      <c r="AF324" t="s">
        <v>74</v>
      </c>
      <c r="AG324">
        <v>117</v>
      </c>
      <c r="AH324">
        <v>98</v>
      </c>
      <c r="AI324">
        <v>118</v>
      </c>
      <c r="AJ324">
        <v>0</v>
      </c>
      <c r="AK324">
        <v>26</v>
      </c>
      <c r="AL324" t="s">
        <v>255</v>
      </c>
      <c r="AM324" t="s">
        <v>256</v>
      </c>
      <c r="AN324" t="s">
        <v>257</v>
      </c>
      <c r="AO324" t="s">
        <v>258</v>
      </c>
      <c r="AP324" t="s">
        <v>74</v>
      </c>
      <c r="AQ324" t="s">
        <v>74</v>
      </c>
      <c r="AR324" t="s">
        <v>259</v>
      </c>
      <c r="AS324" t="s">
        <v>260</v>
      </c>
      <c r="AT324" t="s">
        <v>5129</v>
      </c>
      <c r="AU324">
        <v>2005</v>
      </c>
      <c r="AV324">
        <v>24</v>
      </c>
      <c r="AW324" t="s">
        <v>5130</v>
      </c>
      <c r="AX324" t="s">
        <v>74</v>
      </c>
      <c r="AY324" t="s">
        <v>74</v>
      </c>
      <c r="AZ324" t="s">
        <v>74</v>
      </c>
      <c r="BA324" t="s">
        <v>74</v>
      </c>
      <c r="BB324">
        <v>1063</v>
      </c>
      <c r="BC324">
        <v>1081</v>
      </c>
      <c r="BD324" t="s">
        <v>74</v>
      </c>
      <c r="BE324" t="s">
        <v>5143</v>
      </c>
      <c r="BF324" t="str">
        <f>HYPERLINK("http://dx.doi.org/10.1016/j.quascirev.2004.02.021","http://dx.doi.org/10.1016/j.quascirev.2004.02.021")</f>
        <v>http://dx.doi.org/10.1016/j.quascirev.2004.02.021</v>
      </c>
      <c r="BG324" t="s">
        <v>74</v>
      </c>
      <c r="BH324" t="s">
        <v>74</v>
      </c>
      <c r="BI324">
        <v>19</v>
      </c>
      <c r="BJ324" t="s">
        <v>242</v>
      </c>
      <c r="BK324" t="s">
        <v>95</v>
      </c>
      <c r="BL324" t="s">
        <v>243</v>
      </c>
      <c r="BM324" t="s">
        <v>5132</v>
      </c>
      <c r="BN324" t="s">
        <v>74</v>
      </c>
      <c r="BO324" t="s">
        <v>74</v>
      </c>
      <c r="BP324" t="s">
        <v>74</v>
      </c>
      <c r="BQ324" t="s">
        <v>74</v>
      </c>
      <c r="BR324" t="s">
        <v>97</v>
      </c>
      <c r="BS324" t="s">
        <v>5144</v>
      </c>
      <c r="BT324" t="str">
        <f>HYPERLINK("https%3A%2F%2Fwww.webofscience.com%2Fwos%2Fwoscc%2Ffull-record%2FWOS:000228256300012","View Full Record in Web of Science")</f>
        <v>View Full Record in Web of Science</v>
      </c>
    </row>
    <row r="325" spans="1:72" x14ac:dyDescent="0.15">
      <c r="A325" t="s">
        <v>72</v>
      </c>
      <c r="B325" t="s">
        <v>5145</v>
      </c>
      <c r="C325" t="s">
        <v>74</v>
      </c>
      <c r="D325" t="s">
        <v>74</v>
      </c>
      <c r="E325" t="s">
        <v>74</v>
      </c>
      <c r="F325" t="s">
        <v>5145</v>
      </c>
      <c r="G325" t="s">
        <v>74</v>
      </c>
      <c r="H325" t="s">
        <v>74</v>
      </c>
      <c r="I325" t="s">
        <v>5146</v>
      </c>
      <c r="J325" t="s">
        <v>5147</v>
      </c>
      <c r="K325" t="s">
        <v>74</v>
      </c>
      <c r="L325" t="s">
        <v>74</v>
      </c>
      <c r="M325" t="s">
        <v>77</v>
      </c>
      <c r="N325" t="s">
        <v>78</v>
      </c>
      <c r="O325" t="s">
        <v>74</v>
      </c>
      <c r="P325" t="s">
        <v>74</v>
      </c>
      <c r="Q325" t="s">
        <v>74</v>
      </c>
      <c r="R325" t="s">
        <v>74</v>
      </c>
      <c r="S325" t="s">
        <v>74</v>
      </c>
      <c r="T325" t="s">
        <v>5148</v>
      </c>
      <c r="U325" t="s">
        <v>5149</v>
      </c>
      <c r="V325" t="s">
        <v>5150</v>
      </c>
      <c r="W325" t="s">
        <v>5151</v>
      </c>
      <c r="X325" t="s">
        <v>5152</v>
      </c>
      <c r="Y325" t="s">
        <v>5153</v>
      </c>
      <c r="Z325" t="s">
        <v>5154</v>
      </c>
      <c r="AA325" t="s">
        <v>5155</v>
      </c>
      <c r="AB325" t="s">
        <v>5156</v>
      </c>
      <c r="AC325" t="s">
        <v>74</v>
      </c>
      <c r="AD325" t="s">
        <v>74</v>
      </c>
      <c r="AE325" t="s">
        <v>74</v>
      </c>
      <c r="AF325" t="s">
        <v>74</v>
      </c>
      <c r="AG325">
        <v>69</v>
      </c>
      <c r="AH325">
        <v>8</v>
      </c>
      <c r="AI325">
        <v>9</v>
      </c>
      <c r="AJ325">
        <v>0</v>
      </c>
      <c r="AK325">
        <v>5</v>
      </c>
      <c r="AL325" t="s">
        <v>472</v>
      </c>
      <c r="AM325" t="s">
        <v>473</v>
      </c>
      <c r="AN325" t="s">
        <v>474</v>
      </c>
      <c r="AO325" t="s">
        <v>5157</v>
      </c>
      <c r="AP325" t="s">
        <v>5158</v>
      </c>
      <c r="AQ325" t="s">
        <v>74</v>
      </c>
      <c r="AR325" t="s">
        <v>5147</v>
      </c>
      <c r="AS325" t="s">
        <v>5159</v>
      </c>
      <c r="AT325" t="s">
        <v>4357</v>
      </c>
      <c r="AU325">
        <v>2005</v>
      </c>
      <c r="AV325">
        <v>52</v>
      </c>
      <c r="AW325">
        <v>2</v>
      </c>
      <c r="AX325" t="s">
        <v>74</v>
      </c>
      <c r="AY325" t="s">
        <v>74</v>
      </c>
      <c r="AZ325" t="s">
        <v>74</v>
      </c>
      <c r="BA325" t="s">
        <v>74</v>
      </c>
      <c r="BB325">
        <v>219</v>
      </c>
      <c r="BC325">
        <v>233</v>
      </c>
      <c r="BD325" t="s">
        <v>74</v>
      </c>
      <c r="BE325" t="s">
        <v>5160</v>
      </c>
      <c r="BF325" t="str">
        <f>HYPERLINK("http://dx.doi.org/10.1111/j.1365-3091.2004.00690.x","http://dx.doi.org/10.1111/j.1365-3091.2004.00690.x")</f>
        <v>http://dx.doi.org/10.1111/j.1365-3091.2004.00690.x</v>
      </c>
      <c r="BG325" t="s">
        <v>74</v>
      </c>
      <c r="BH325" t="s">
        <v>74</v>
      </c>
      <c r="BI325">
        <v>15</v>
      </c>
      <c r="BJ325" t="s">
        <v>307</v>
      </c>
      <c r="BK325" t="s">
        <v>95</v>
      </c>
      <c r="BL325" t="s">
        <v>307</v>
      </c>
      <c r="BM325" t="s">
        <v>5161</v>
      </c>
      <c r="BN325" t="s">
        <v>74</v>
      </c>
      <c r="BO325" t="s">
        <v>74</v>
      </c>
      <c r="BP325" t="s">
        <v>74</v>
      </c>
      <c r="BQ325" t="s">
        <v>74</v>
      </c>
      <c r="BR325" t="s">
        <v>97</v>
      </c>
      <c r="BS325" t="s">
        <v>5162</v>
      </c>
      <c r="BT325" t="str">
        <f>HYPERLINK("https%3A%2F%2Fwww.webofscience.com%2Fwos%2Fwoscc%2Ffull-record%2FWOS:000229071000001","View Full Record in Web of Science")</f>
        <v>View Full Record in Web of Science</v>
      </c>
    </row>
    <row r="326" spans="1:72" x14ac:dyDescent="0.15">
      <c r="A326" t="s">
        <v>72</v>
      </c>
      <c r="B326" t="s">
        <v>5163</v>
      </c>
      <c r="C326" t="s">
        <v>74</v>
      </c>
      <c r="D326" t="s">
        <v>74</v>
      </c>
      <c r="E326" t="s">
        <v>74</v>
      </c>
      <c r="F326" t="s">
        <v>5163</v>
      </c>
      <c r="G326" t="s">
        <v>74</v>
      </c>
      <c r="H326" t="s">
        <v>74</v>
      </c>
      <c r="I326" t="s">
        <v>5164</v>
      </c>
      <c r="J326" t="s">
        <v>5147</v>
      </c>
      <c r="K326" t="s">
        <v>74</v>
      </c>
      <c r="L326" t="s">
        <v>74</v>
      </c>
      <c r="M326" t="s">
        <v>77</v>
      </c>
      <c r="N326" t="s">
        <v>78</v>
      </c>
      <c r="O326" t="s">
        <v>74</v>
      </c>
      <c r="P326" t="s">
        <v>74</v>
      </c>
      <c r="Q326" t="s">
        <v>74</v>
      </c>
      <c r="R326" t="s">
        <v>74</v>
      </c>
      <c r="S326" t="s">
        <v>74</v>
      </c>
      <c r="T326" t="s">
        <v>5165</v>
      </c>
      <c r="U326" t="s">
        <v>5166</v>
      </c>
      <c r="V326" t="s">
        <v>5167</v>
      </c>
      <c r="W326" t="s">
        <v>5168</v>
      </c>
      <c r="X326" t="s">
        <v>5169</v>
      </c>
      <c r="Y326" t="s">
        <v>5170</v>
      </c>
      <c r="Z326" t="s">
        <v>5171</v>
      </c>
      <c r="AA326" t="s">
        <v>74</v>
      </c>
      <c r="AB326" t="s">
        <v>74</v>
      </c>
      <c r="AC326" t="s">
        <v>74</v>
      </c>
      <c r="AD326" t="s">
        <v>74</v>
      </c>
      <c r="AE326" t="s">
        <v>74</v>
      </c>
      <c r="AF326" t="s">
        <v>74</v>
      </c>
      <c r="AG326">
        <v>53</v>
      </c>
      <c r="AH326">
        <v>52</v>
      </c>
      <c r="AI326">
        <v>59</v>
      </c>
      <c r="AJ326">
        <v>0</v>
      </c>
      <c r="AK326">
        <v>9</v>
      </c>
      <c r="AL326" t="s">
        <v>472</v>
      </c>
      <c r="AM326" t="s">
        <v>473</v>
      </c>
      <c r="AN326" t="s">
        <v>474</v>
      </c>
      <c r="AO326" t="s">
        <v>5157</v>
      </c>
      <c r="AP326" t="s">
        <v>5158</v>
      </c>
      <c r="AQ326" t="s">
        <v>74</v>
      </c>
      <c r="AR326" t="s">
        <v>5147</v>
      </c>
      <c r="AS326" t="s">
        <v>5159</v>
      </c>
      <c r="AT326" t="s">
        <v>4357</v>
      </c>
      <c r="AU326">
        <v>2005</v>
      </c>
      <c r="AV326">
        <v>52</v>
      </c>
      <c r="AW326">
        <v>2</v>
      </c>
      <c r="AX326" t="s">
        <v>74</v>
      </c>
      <c r="AY326" t="s">
        <v>74</v>
      </c>
      <c r="AZ326" t="s">
        <v>74</v>
      </c>
      <c r="BA326" t="s">
        <v>74</v>
      </c>
      <c r="BB326">
        <v>253</v>
      </c>
      <c r="BC326">
        <v>269</v>
      </c>
      <c r="BD326" t="s">
        <v>74</v>
      </c>
      <c r="BE326" t="s">
        <v>5172</v>
      </c>
      <c r="BF326" t="str">
        <f>HYPERLINK("http://dx.doi.org/10.1111/j.1365-3091.2004.00695.x","http://dx.doi.org/10.1111/j.1365-3091.2004.00695.x")</f>
        <v>http://dx.doi.org/10.1111/j.1365-3091.2004.00695.x</v>
      </c>
      <c r="BG326" t="s">
        <v>74</v>
      </c>
      <c r="BH326" t="s">
        <v>74</v>
      </c>
      <c r="BI326">
        <v>17</v>
      </c>
      <c r="BJ326" t="s">
        <v>307</v>
      </c>
      <c r="BK326" t="s">
        <v>95</v>
      </c>
      <c r="BL326" t="s">
        <v>307</v>
      </c>
      <c r="BM326" t="s">
        <v>5161</v>
      </c>
      <c r="BN326" t="s">
        <v>74</v>
      </c>
      <c r="BO326" t="s">
        <v>74</v>
      </c>
      <c r="BP326" t="s">
        <v>74</v>
      </c>
      <c r="BQ326" t="s">
        <v>74</v>
      </c>
      <c r="BR326" t="s">
        <v>97</v>
      </c>
      <c r="BS326" t="s">
        <v>5173</v>
      </c>
      <c r="BT326" t="str">
        <f>HYPERLINK("https%3A%2F%2Fwww.webofscience.com%2Fwos%2Fwoscc%2Ffull-record%2FWOS:000229071000003","View Full Record in Web of Science")</f>
        <v>View Full Record in Web of Science</v>
      </c>
    </row>
    <row r="327" spans="1:72" x14ac:dyDescent="0.15">
      <c r="A327" t="s">
        <v>72</v>
      </c>
      <c r="B327" t="s">
        <v>5174</v>
      </c>
      <c r="C327" t="s">
        <v>74</v>
      </c>
      <c r="D327" t="s">
        <v>74</v>
      </c>
      <c r="E327" t="s">
        <v>74</v>
      </c>
      <c r="F327" t="s">
        <v>5174</v>
      </c>
      <c r="G327" t="s">
        <v>74</v>
      </c>
      <c r="H327" t="s">
        <v>74</v>
      </c>
      <c r="I327" t="s">
        <v>5175</v>
      </c>
      <c r="J327" t="s">
        <v>5176</v>
      </c>
      <c r="K327" t="s">
        <v>74</v>
      </c>
      <c r="L327" t="s">
        <v>74</v>
      </c>
      <c r="M327" t="s">
        <v>77</v>
      </c>
      <c r="N327" t="s">
        <v>495</v>
      </c>
      <c r="O327" t="s">
        <v>5177</v>
      </c>
      <c r="P327" t="s">
        <v>5178</v>
      </c>
      <c r="Q327" t="s">
        <v>5179</v>
      </c>
      <c r="R327" t="s">
        <v>74</v>
      </c>
      <c r="S327" t="s">
        <v>74</v>
      </c>
      <c r="T327" t="s">
        <v>74</v>
      </c>
      <c r="U327" t="s">
        <v>5180</v>
      </c>
      <c r="V327" t="s">
        <v>5181</v>
      </c>
      <c r="W327" t="s">
        <v>5182</v>
      </c>
      <c r="X327" t="s">
        <v>5183</v>
      </c>
      <c r="Y327" t="s">
        <v>5184</v>
      </c>
      <c r="Z327" t="s">
        <v>5185</v>
      </c>
      <c r="AA327" t="s">
        <v>5186</v>
      </c>
      <c r="AB327" t="s">
        <v>5187</v>
      </c>
      <c r="AC327" t="s">
        <v>74</v>
      </c>
      <c r="AD327" t="s">
        <v>74</v>
      </c>
      <c r="AE327" t="s">
        <v>74</v>
      </c>
      <c r="AF327" t="s">
        <v>74</v>
      </c>
      <c r="AG327">
        <v>33</v>
      </c>
      <c r="AH327">
        <v>14</v>
      </c>
      <c r="AI327">
        <v>14</v>
      </c>
      <c r="AJ327">
        <v>0</v>
      </c>
      <c r="AK327">
        <v>7</v>
      </c>
      <c r="AL327" t="s">
        <v>5188</v>
      </c>
      <c r="AM327" t="s">
        <v>5189</v>
      </c>
      <c r="AN327" t="s">
        <v>5190</v>
      </c>
      <c r="AO327" t="s">
        <v>5191</v>
      </c>
      <c r="AP327" t="s">
        <v>74</v>
      </c>
      <c r="AQ327" t="s">
        <v>74</v>
      </c>
      <c r="AR327" t="s">
        <v>5192</v>
      </c>
      <c r="AS327" t="s">
        <v>5193</v>
      </c>
      <c r="AT327" t="s">
        <v>4357</v>
      </c>
      <c r="AU327">
        <v>2005</v>
      </c>
      <c r="AV327">
        <v>80</v>
      </c>
      <c r="AW327" t="s">
        <v>5194</v>
      </c>
      <c r="AX327" t="s">
        <v>74</v>
      </c>
      <c r="AY327" t="s">
        <v>74</v>
      </c>
      <c r="AZ327" t="s">
        <v>74</v>
      </c>
      <c r="BA327" t="s">
        <v>74</v>
      </c>
      <c r="BB327">
        <v>81</v>
      </c>
      <c r="BC327">
        <v>89</v>
      </c>
      <c r="BD327" t="s">
        <v>74</v>
      </c>
      <c r="BE327" t="s">
        <v>5195</v>
      </c>
      <c r="BF327" t="str">
        <f>HYPERLINK("http://dx.doi.org/10.1007/s00704-004-0092-1","http://dx.doi.org/10.1007/s00704-004-0092-1")</f>
        <v>http://dx.doi.org/10.1007/s00704-004-0092-1</v>
      </c>
      <c r="BG327" t="s">
        <v>74</v>
      </c>
      <c r="BH327" t="s">
        <v>74</v>
      </c>
      <c r="BI327">
        <v>9</v>
      </c>
      <c r="BJ327" t="s">
        <v>401</v>
      </c>
      <c r="BK327" t="s">
        <v>514</v>
      </c>
      <c r="BL327" t="s">
        <v>401</v>
      </c>
      <c r="BM327" t="s">
        <v>5196</v>
      </c>
      <c r="BN327" t="s">
        <v>74</v>
      </c>
      <c r="BO327" t="s">
        <v>74</v>
      </c>
      <c r="BP327" t="s">
        <v>74</v>
      </c>
      <c r="BQ327" t="s">
        <v>74</v>
      </c>
      <c r="BR327" t="s">
        <v>97</v>
      </c>
      <c r="BS327" t="s">
        <v>5197</v>
      </c>
      <c r="BT327" t="str">
        <f>HYPERLINK("https%3A%2F%2Fwww.webofscience.com%2Fwos%2Fwoscc%2Ffull-record%2FWOS:000229478000002","View Full Record in Web of Science")</f>
        <v>View Full Record in Web of Science</v>
      </c>
    </row>
    <row r="328" spans="1:72" x14ac:dyDescent="0.15">
      <c r="A328" t="s">
        <v>72</v>
      </c>
      <c r="B328" t="s">
        <v>5198</v>
      </c>
      <c r="C328" t="s">
        <v>74</v>
      </c>
      <c r="D328" t="s">
        <v>74</v>
      </c>
      <c r="E328" t="s">
        <v>74</v>
      </c>
      <c r="F328" t="s">
        <v>5198</v>
      </c>
      <c r="G328" t="s">
        <v>74</v>
      </c>
      <c r="H328" t="s">
        <v>74</v>
      </c>
      <c r="I328" t="s">
        <v>5199</v>
      </c>
      <c r="J328" t="s">
        <v>519</v>
      </c>
      <c r="K328" t="s">
        <v>74</v>
      </c>
      <c r="L328" t="s">
        <v>74</v>
      </c>
      <c r="M328" t="s">
        <v>77</v>
      </c>
      <c r="N328" t="s">
        <v>78</v>
      </c>
      <c r="O328" t="s">
        <v>74</v>
      </c>
      <c r="P328" t="s">
        <v>74</v>
      </c>
      <c r="Q328" t="s">
        <v>74</v>
      </c>
      <c r="R328" t="s">
        <v>74</v>
      </c>
      <c r="S328" t="s">
        <v>74</v>
      </c>
      <c r="T328" t="s">
        <v>74</v>
      </c>
      <c r="U328" t="s">
        <v>5200</v>
      </c>
      <c r="V328" t="s">
        <v>5201</v>
      </c>
      <c r="W328" t="s">
        <v>4109</v>
      </c>
      <c r="X328" t="s">
        <v>671</v>
      </c>
      <c r="Y328" t="s">
        <v>5202</v>
      </c>
      <c r="Z328" t="s">
        <v>4110</v>
      </c>
      <c r="AA328" t="s">
        <v>74</v>
      </c>
      <c r="AB328" t="s">
        <v>74</v>
      </c>
      <c r="AC328" t="s">
        <v>74</v>
      </c>
      <c r="AD328" t="s">
        <v>74</v>
      </c>
      <c r="AE328" t="s">
        <v>74</v>
      </c>
      <c r="AF328" t="s">
        <v>74</v>
      </c>
      <c r="AG328">
        <v>20</v>
      </c>
      <c r="AH328">
        <v>12</v>
      </c>
      <c r="AI328">
        <v>12</v>
      </c>
      <c r="AJ328">
        <v>0</v>
      </c>
      <c r="AK328">
        <v>0</v>
      </c>
      <c r="AL328" t="s">
        <v>527</v>
      </c>
      <c r="AM328" t="s">
        <v>528</v>
      </c>
      <c r="AN328" t="s">
        <v>529</v>
      </c>
      <c r="AO328" t="s">
        <v>530</v>
      </c>
      <c r="AP328" t="s">
        <v>74</v>
      </c>
      <c r="AQ328" t="s">
        <v>74</v>
      </c>
      <c r="AR328" t="s">
        <v>532</v>
      </c>
      <c r="AS328" t="s">
        <v>533</v>
      </c>
      <c r="AT328" t="s">
        <v>5203</v>
      </c>
      <c r="AU328">
        <v>2005</v>
      </c>
      <c r="AV328">
        <v>32</v>
      </c>
      <c r="AW328">
        <v>6</v>
      </c>
      <c r="AX328" t="s">
        <v>74</v>
      </c>
      <c r="AY328" t="s">
        <v>74</v>
      </c>
      <c r="AZ328" t="s">
        <v>74</v>
      </c>
      <c r="BA328" t="s">
        <v>74</v>
      </c>
      <c r="BB328" t="s">
        <v>74</v>
      </c>
      <c r="BC328" t="s">
        <v>74</v>
      </c>
      <c r="BD328" t="s">
        <v>5204</v>
      </c>
      <c r="BE328" t="s">
        <v>5205</v>
      </c>
      <c r="BF328" t="str">
        <f>HYPERLINK("http://dx.doi.org/10.1029/2004GL021804","http://dx.doi.org/10.1029/2004GL021804")</f>
        <v>http://dx.doi.org/10.1029/2004GL021804</v>
      </c>
      <c r="BG328" t="s">
        <v>74</v>
      </c>
      <c r="BH328" t="s">
        <v>74</v>
      </c>
      <c r="BI328">
        <v>5</v>
      </c>
      <c r="BJ328" t="s">
        <v>537</v>
      </c>
      <c r="BK328" t="s">
        <v>95</v>
      </c>
      <c r="BL328" t="s">
        <v>307</v>
      </c>
      <c r="BM328" t="s">
        <v>5206</v>
      </c>
      <c r="BN328" t="s">
        <v>74</v>
      </c>
      <c r="BO328" t="s">
        <v>74</v>
      </c>
      <c r="BP328" t="s">
        <v>74</v>
      </c>
      <c r="BQ328" t="s">
        <v>74</v>
      </c>
      <c r="BR328" t="s">
        <v>97</v>
      </c>
      <c r="BS328" t="s">
        <v>5207</v>
      </c>
      <c r="BT328" t="str">
        <f>HYPERLINK("https%3A%2F%2Fwww.webofscience.com%2Fwos%2Fwoscc%2Ffull-record%2FWOS:000228364500001","View Full Record in Web of Science")</f>
        <v>View Full Record in Web of Science</v>
      </c>
    </row>
    <row r="329" spans="1:72" x14ac:dyDescent="0.15">
      <c r="A329" t="s">
        <v>72</v>
      </c>
      <c r="B329" t="s">
        <v>5208</v>
      </c>
      <c r="C329" t="s">
        <v>74</v>
      </c>
      <c r="D329" t="s">
        <v>74</v>
      </c>
      <c r="E329" t="s">
        <v>74</v>
      </c>
      <c r="F329" t="s">
        <v>5208</v>
      </c>
      <c r="G329" t="s">
        <v>74</v>
      </c>
      <c r="H329" t="s">
        <v>74</v>
      </c>
      <c r="I329" t="s">
        <v>5209</v>
      </c>
      <c r="J329" t="s">
        <v>837</v>
      </c>
      <c r="K329" t="s">
        <v>74</v>
      </c>
      <c r="L329" t="s">
        <v>74</v>
      </c>
      <c r="M329" t="s">
        <v>77</v>
      </c>
      <c r="N329" t="s">
        <v>78</v>
      </c>
      <c r="O329" t="s">
        <v>74</v>
      </c>
      <c r="P329" t="s">
        <v>74</v>
      </c>
      <c r="Q329" t="s">
        <v>74</v>
      </c>
      <c r="R329" t="s">
        <v>74</v>
      </c>
      <c r="S329" t="s">
        <v>74</v>
      </c>
      <c r="T329" t="s">
        <v>74</v>
      </c>
      <c r="U329" t="s">
        <v>5210</v>
      </c>
      <c r="V329" t="s">
        <v>5211</v>
      </c>
      <c r="W329" t="s">
        <v>5212</v>
      </c>
      <c r="X329" t="s">
        <v>5213</v>
      </c>
      <c r="Y329" t="s">
        <v>2616</v>
      </c>
      <c r="Z329" t="s">
        <v>5214</v>
      </c>
      <c r="AA329" t="s">
        <v>5215</v>
      </c>
      <c r="AB329" t="s">
        <v>5216</v>
      </c>
      <c r="AC329" t="s">
        <v>74</v>
      </c>
      <c r="AD329" t="s">
        <v>74</v>
      </c>
      <c r="AE329" t="s">
        <v>74</v>
      </c>
      <c r="AF329" t="s">
        <v>74</v>
      </c>
      <c r="AG329">
        <v>48</v>
      </c>
      <c r="AH329">
        <v>554</v>
      </c>
      <c r="AI329">
        <v>579</v>
      </c>
      <c r="AJ329">
        <v>1</v>
      </c>
      <c r="AK329">
        <v>30</v>
      </c>
      <c r="AL329" t="s">
        <v>527</v>
      </c>
      <c r="AM329" t="s">
        <v>528</v>
      </c>
      <c r="AN329" t="s">
        <v>529</v>
      </c>
      <c r="AO329" t="s">
        <v>846</v>
      </c>
      <c r="AP329" t="s">
        <v>847</v>
      </c>
      <c r="AQ329" t="s">
        <v>74</v>
      </c>
      <c r="AR329" t="s">
        <v>848</v>
      </c>
      <c r="AS329" t="s">
        <v>849</v>
      </c>
      <c r="AT329" t="s">
        <v>5203</v>
      </c>
      <c r="AU329">
        <v>2005</v>
      </c>
      <c r="AV329">
        <v>110</v>
      </c>
      <c r="AW329" t="s">
        <v>5217</v>
      </c>
      <c r="AX329" t="s">
        <v>74</v>
      </c>
      <c r="AY329" t="s">
        <v>74</v>
      </c>
      <c r="AZ329" t="s">
        <v>74</v>
      </c>
      <c r="BA329" t="s">
        <v>74</v>
      </c>
      <c r="BB329" t="s">
        <v>74</v>
      </c>
      <c r="BC329" t="s">
        <v>74</v>
      </c>
      <c r="BD329" t="s">
        <v>5218</v>
      </c>
      <c r="BE329" t="s">
        <v>5219</v>
      </c>
      <c r="BF329" t="str">
        <f>HYPERLINK("http://dx.doi.org/10.1029/2004JA010811","http://dx.doi.org/10.1029/2004JA010811")</f>
        <v>http://dx.doi.org/10.1029/2004JA010811</v>
      </c>
      <c r="BG329" t="s">
        <v>74</v>
      </c>
      <c r="BH329" t="s">
        <v>74</v>
      </c>
      <c r="BI329">
        <v>10</v>
      </c>
      <c r="BJ329" t="s">
        <v>853</v>
      </c>
      <c r="BK329" t="s">
        <v>95</v>
      </c>
      <c r="BL329" t="s">
        <v>853</v>
      </c>
      <c r="BM329" t="s">
        <v>5220</v>
      </c>
      <c r="BN329" t="s">
        <v>74</v>
      </c>
      <c r="BO329" t="s">
        <v>539</v>
      </c>
      <c r="BP329" t="s">
        <v>74</v>
      </c>
      <c r="BQ329" t="s">
        <v>74</v>
      </c>
      <c r="BR329" t="s">
        <v>97</v>
      </c>
      <c r="BS329" t="s">
        <v>5221</v>
      </c>
      <c r="BT329" t="str">
        <f>HYPERLINK("https%3A%2F%2Fwww.webofscience.com%2Fwos%2Fwoscc%2Ffull-record%2FWOS:000228370600001","View Full Record in Web of Science")</f>
        <v>View Full Record in Web of Science</v>
      </c>
    </row>
    <row r="330" spans="1:72" x14ac:dyDescent="0.15">
      <c r="A330" t="s">
        <v>72</v>
      </c>
      <c r="B330" t="s">
        <v>5222</v>
      </c>
      <c r="C330" t="s">
        <v>74</v>
      </c>
      <c r="D330" t="s">
        <v>74</v>
      </c>
      <c r="E330" t="s">
        <v>74</v>
      </c>
      <c r="F330" t="s">
        <v>5222</v>
      </c>
      <c r="G330" t="s">
        <v>74</v>
      </c>
      <c r="H330" t="s">
        <v>74</v>
      </c>
      <c r="I330" t="s">
        <v>5223</v>
      </c>
      <c r="J330" t="s">
        <v>425</v>
      </c>
      <c r="K330" t="s">
        <v>74</v>
      </c>
      <c r="L330" t="s">
        <v>74</v>
      </c>
      <c r="M330" t="s">
        <v>77</v>
      </c>
      <c r="N330" t="s">
        <v>78</v>
      </c>
      <c r="O330" t="s">
        <v>74</v>
      </c>
      <c r="P330" t="s">
        <v>74</v>
      </c>
      <c r="Q330" t="s">
        <v>74</v>
      </c>
      <c r="R330" t="s">
        <v>74</v>
      </c>
      <c r="S330" t="s">
        <v>74</v>
      </c>
      <c r="T330" t="s">
        <v>5224</v>
      </c>
      <c r="U330" t="s">
        <v>5225</v>
      </c>
      <c r="V330" t="s">
        <v>5226</v>
      </c>
      <c r="W330" t="s">
        <v>5227</v>
      </c>
      <c r="X330" t="s">
        <v>5228</v>
      </c>
      <c r="Y330" t="s">
        <v>5229</v>
      </c>
      <c r="Z330" t="s">
        <v>5230</v>
      </c>
      <c r="AA330" t="s">
        <v>5231</v>
      </c>
      <c r="AB330" t="s">
        <v>5232</v>
      </c>
      <c r="AC330" t="s">
        <v>74</v>
      </c>
      <c r="AD330" t="s">
        <v>74</v>
      </c>
      <c r="AE330" t="s">
        <v>74</v>
      </c>
      <c r="AF330" t="s">
        <v>74</v>
      </c>
      <c r="AG330">
        <v>47</v>
      </c>
      <c r="AH330">
        <v>70</v>
      </c>
      <c r="AI330">
        <v>73</v>
      </c>
      <c r="AJ330">
        <v>0</v>
      </c>
      <c r="AK330">
        <v>17</v>
      </c>
      <c r="AL330" t="s">
        <v>435</v>
      </c>
      <c r="AM330" t="s">
        <v>436</v>
      </c>
      <c r="AN330" t="s">
        <v>437</v>
      </c>
      <c r="AO330" t="s">
        <v>438</v>
      </c>
      <c r="AP330" t="s">
        <v>439</v>
      </c>
      <c r="AQ330" t="s">
        <v>74</v>
      </c>
      <c r="AR330" t="s">
        <v>440</v>
      </c>
      <c r="AS330" t="s">
        <v>441</v>
      </c>
      <c r="AT330" t="s">
        <v>5233</v>
      </c>
      <c r="AU330">
        <v>2005</v>
      </c>
      <c r="AV330">
        <v>232</v>
      </c>
      <c r="AW330" t="s">
        <v>442</v>
      </c>
      <c r="AX330" t="s">
        <v>74</v>
      </c>
      <c r="AY330" t="s">
        <v>74</v>
      </c>
      <c r="AZ330" t="s">
        <v>74</v>
      </c>
      <c r="BA330" t="s">
        <v>74</v>
      </c>
      <c r="BB330">
        <v>95</v>
      </c>
      <c r="BC330">
        <v>108</v>
      </c>
      <c r="BD330" t="s">
        <v>74</v>
      </c>
      <c r="BE330" t="s">
        <v>5234</v>
      </c>
      <c r="BF330" t="str">
        <f>HYPERLINK("http://dx.doi.org/10.1016/j.epsl.2005.01.007","http://dx.doi.org/10.1016/j.epsl.2005.01.007")</f>
        <v>http://dx.doi.org/10.1016/j.epsl.2005.01.007</v>
      </c>
      <c r="BG330" t="s">
        <v>74</v>
      </c>
      <c r="BH330" t="s">
        <v>74</v>
      </c>
      <c r="BI330">
        <v>14</v>
      </c>
      <c r="BJ330" t="s">
        <v>381</v>
      </c>
      <c r="BK330" t="s">
        <v>95</v>
      </c>
      <c r="BL330" t="s">
        <v>381</v>
      </c>
      <c r="BM330" t="s">
        <v>5235</v>
      </c>
      <c r="BN330" t="s">
        <v>74</v>
      </c>
      <c r="BO330" t="s">
        <v>74</v>
      </c>
      <c r="BP330" t="s">
        <v>74</v>
      </c>
      <c r="BQ330" t="s">
        <v>74</v>
      </c>
      <c r="BR330" t="s">
        <v>97</v>
      </c>
      <c r="BS330" t="s">
        <v>5236</v>
      </c>
      <c r="BT330" t="str">
        <f>HYPERLINK("https%3A%2F%2Fwww.webofscience.com%2Fwos%2Fwoscc%2Ffull-record%2FWOS:000228158800009","View Full Record in Web of Science")</f>
        <v>View Full Record in Web of Science</v>
      </c>
    </row>
    <row r="331" spans="1:72" x14ac:dyDescent="0.15">
      <c r="A331" t="s">
        <v>72</v>
      </c>
      <c r="B331" t="s">
        <v>5237</v>
      </c>
      <c r="C331" t="s">
        <v>74</v>
      </c>
      <c r="D331" t="s">
        <v>74</v>
      </c>
      <c r="E331" t="s">
        <v>74</v>
      </c>
      <c r="F331" t="s">
        <v>5237</v>
      </c>
      <c r="G331" t="s">
        <v>74</v>
      </c>
      <c r="H331" t="s">
        <v>74</v>
      </c>
      <c r="I331" t="s">
        <v>5238</v>
      </c>
      <c r="J331" t="s">
        <v>2384</v>
      </c>
      <c r="K331" t="s">
        <v>74</v>
      </c>
      <c r="L331" t="s">
        <v>74</v>
      </c>
      <c r="M331" t="s">
        <v>77</v>
      </c>
      <c r="N331" t="s">
        <v>78</v>
      </c>
      <c r="O331" t="s">
        <v>74</v>
      </c>
      <c r="P331" t="s">
        <v>74</v>
      </c>
      <c r="Q331" t="s">
        <v>74</v>
      </c>
      <c r="R331" t="s">
        <v>74</v>
      </c>
      <c r="S331" t="s">
        <v>74</v>
      </c>
      <c r="T331" t="s">
        <v>5239</v>
      </c>
      <c r="U331" t="s">
        <v>5240</v>
      </c>
      <c r="V331" t="s">
        <v>5241</v>
      </c>
      <c r="W331" t="s">
        <v>5242</v>
      </c>
      <c r="X331" t="s">
        <v>5243</v>
      </c>
      <c r="Y331" t="s">
        <v>5244</v>
      </c>
      <c r="Z331" t="s">
        <v>5245</v>
      </c>
      <c r="AA331" t="s">
        <v>5246</v>
      </c>
      <c r="AB331" t="s">
        <v>5247</v>
      </c>
      <c r="AC331" t="s">
        <v>74</v>
      </c>
      <c r="AD331" t="s">
        <v>74</v>
      </c>
      <c r="AE331" t="s">
        <v>74</v>
      </c>
      <c r="AF331" t="s">
        <v>74</v>
      </c>
      <c r="AG331">
        <v>61</v>
      </c>
      <c r="AH331">
        <v>58</v>
      </c>
      <c r="AI331">
        <v>70</v>
      </c>
      <c r="AJ331">
        <v>0</v>
      </c>
      <c r="AK331">
        <v>17</v>
      </c>
      <c r="AL331" t="s">
        <v>527</v>
      </c>
      <c r="AM331" t="s">
        <v>528</v>
      </c>
      <c r="AN331" t="s">
        <v>529</v>
      </c>
      <c r="AO331" t="s">
        <v>74</v>
      </c>
      <c r="AP331" t="s">
        <v>2393</v>
      </c>
      <c r="AQ331" t="s">
        <v>74</v>
      </c>
      <c r="AR331" t="s">
        <v>2394</v>
      </c>
      <c r="AS331" t="s">
        <v>2395</v>
      </c>
      <c r="AT331" t="s">
        <v>5248</v>
      </c>
      <c r="AU331">
        <v>2005</v>
      </c>
      <c r="AV331">
        <v>6</v>
      </c>
      <c r="AW331" t="s">
        <v>74</v>
      </c>
      <c r="AX331" t="s">
        <v>74</v>
      </c>
      <c r="AY331" t="s">
        <v>74</v>
      </c>
      <c r="AZ331" t="s">
        <v>74</v>
      </c>
      <c r="BA331" t="s">
        <v>74</v>
      </c>
      <c r="BB331" t="s">
        <v>74</v>
      </c>
      <c r="BC331" t="s">
        <v>74</v>
      </c>
      <c r="BD331" t="s">
        <v>5249</v>
      </c>
      <c r="BE331" t="s">
        <v>5250</v>
      </c>
      <c r="BF331" t="str">
        <f>HYPERLINK("http://dx.doi.org/10.1029/2004GC000799","http://dx.doi.org/10.1029/2004GC000799")</f>
        <v>http://dx.doi.org/10.1029/2004GC000799</v>
      </c>
      <c r="BG331" t="s">
        <v>74</v>
      </c>
      <c r="BH331" t="s">
        <v>74</v>
      </c>
      <c r="BI331">
        <v>20</v>
      </c>
      <c r="BJ331" t="s">
        <v>381</v>
      </c>
      <c r="BK331" t="s">
        <v>95</v>
      </c>
      <c r="BL331" t="s">
        <v>381</v>
      </c>
      <c r="BM331" t="s">
        <v>5251</v>
      </c>
      <c r="BN331" t="s">
        <v>74</v>
      </c>
      <c r="BO331" t="s">
        <v>539</v>
      </c>
      <c r="BP331" t="s">
        <v>74</v>
      </c>
      <c r="BQ331" t="s">
        <v>74</v>
      </c>
      <c r="BR331" t="s">
        <v>97</v>
      </c>
      <c r="BS331" t="s">
        <v>5252</v>
      </c>
      <c r="BT331" t="str">
        <f>HYPERLINK("https%3A%2F%2Fwww.webofscience.com%2Fwos%2Fwoscc%2Ffull-record%2FWOS:000228362700001","View Full Record in Web of Science")</f>
        <v>View Full Record in Web of Science</v>
      </c>
    </row>
    <row r="332" spans="1:72" x14ac:dyDescent="0.15">
      <c r="A332" t="s">
        <v>72</v>
      </c>
      <c r="B332" t="s">
        <v>5253</v>
      </c>
      <c r="C332" t="s">
        <v>74</v>
      </c>
      <c r="D332" t="s">
        <v>74</v>
      </c>
      <c r="E332" t="s">
        <v>74</v>
      </c>
      <c r="F332" t="s">
        <v>5253</v>
      </c>
      <c r="G332" t="s">
        <v>74</v>
      </c>
      <c r="H332" t="s">
        <v>74</v>
      </c>
      <c r="I332" t="s">
        <v>5254</v>
      </c>
      <c r="J332" t="s">
        <v>1868</v>
      </c>
      <c r="K332" t="s">
        <v>74</v>
      </c>
      <c r="L332" t="s">
        <v>74</v>
      </c>
      <c r="M332" t="s">
        <v>77</v>
      </c>
      <c r="N332" t="s">
        <v>78</v>
      </c>
      <c r="O332" t="s">
        <v>74</v>
      </c>
      <c r="P332" t="s">
        <v>74</v>
      </c>
      <c r="Q332" t="s">
        <v>74</v>
      </c>
      <c r="R332" t="s">
        <v>74</v>
      </c>
      <c r="S332" t="s">
        <v>74</v>
      </c>
      <c r="T332" t="s">
        <v>74</v>
      </c>
      <c r="U332" t="s">
        <v>5255</v>
      </c>
      <c r="V332" t="s">
        <v>5256</v>
      </c>
      <c r="W332" t="s">
        <v>5257</v>
      </c>
      <c r="X332" t="s">
        <v>5258</v>
      </c>
      <c r="Y332" t="s">
        <v>5259</v>
      </c>
      <c r="Z332" t="s">
        <v>5260</v>
      </c>
      <c r="AA332" t="s">
        <v>5261</v>
      </c>
      <c r="AB332" t="s">
        <v>5262</v>
      </c>
      <c r="AC332" t="s">
        <v>74</v>
      </c>
      <c r="AD332" t="s">
        <v>74</v>
      </c>
      <c r="AE332" t="s">
        <v>74</v>
      </c>
      <c r="AF332" t="s">
        <v>74</v>
      </c>
      <c r="AG332">
        <v>49</v>
      </c>
      <c r="AH332">
        <v>85</v>
      </c>
      <c r="AI332">
        <v>97</v>
      </c>
      <c r="AJ332">
        <v>1</v>
      </c>
      <c r="AK332">
        <v>30</v>
      </c>
      <c r="AL332" t="s">
        <v>527</v>
      </c>
      <c r="AM332" t="s">
        <v>528</v>
      </c>
      <c r="AN332" t="s">
        <v>529</v>
      </c>
      <c r="AO332" t="s">
        <v>1877</v>
      </c>
      <c r="AP332" t="s">
        <v>1878</v>
      </c>
      <c r="AQ332" t="s">
        <v>74</v>
      </c>
      <c r="AR332" t="s">
        <v>1879</v>
      </c>
      <c r="AS332" t="s">
        <v>1880</v>
      </c>
      <c r="AT332" t="s">
        <v>5263</v>
      </c>
      <c r="AU332">
        <v>2005</v>
      </c>
      <c r="AV332">
        <v>110</v>
      </c>
      <c r="AW332" t="s">
        <v>5264</v>
      </c>
      <c r="AX332" t="s">
        <v>74</v>
      </c>
      <c r="AY332" t="s">
        <v>74</v>
      </c>
      <c r="AZ332" t="s">
        <v>74</v>
      </c>
      <c r="BA332" t="s">
        <v>74</v>
      </c>
      <c r="BB332" t="s">
        <v>74</v>
      </c>
      <c r="BC332" t="s">
        <v>74</v>
      </c>
      <c r="BD332" t="s">
        <v>5265</v>
      </c>
      <c r="BE332" t="s">
        <v>5266</v>
      </c>
      <c r="BF332" t="str">
        <f>HYPERLINK("http://dx.doi.org/10.1029/2004JD005259","http://dx.doi.org/10.1029/2004JD005259")</f>
        <v>http://dx.doi.org/10.1029/2004JD005259</v>
      </c>
      <c r="BG332" t="s">
        <v>74</v>
      </c>
      <c r="BH332" t="s">
        <v>74</v>
      </c>
      <c r="BI332">
        <v>12</v>
      </c>
      <c r="BJ332" t="s">
        <v>401</v>
      </c>
      <c r="BK332" t="s">
        <v>95</v>
      </c>
      <c r="BL332" t="s">
        <v>401</v>
      </c>
      <c r="BM332" t="s">
        <v>5267</v>
      </c>
      <c r="BN332" t="s">
        <v>74</v>
      </c>
      <c r="BO332" t="s">
        <v>613</v>
      </c>
      <c r="BP332" t="s">
        <v>74</v>
      </c>
      <c r="BQ332" t="s">
        <v>74</v>
      </c>
      <c r="BR332" t="s">
        <v>97</v>
      </c>
      <c r="BS332" t="s">
        <v>5268</v>
      </c>
      <c r="BT332" t="str">
        <f>HYPERLINK("https%3A%2F%2Fwww.webofscience.com%2Fwos%2Fwoscc%2Ffull-record%2FWOS:000228153800003","View Full Record in Web of Science")</f>
        <v>View Full Record in Web of Science</v>
      </c>
    </row>
    <row r="333" spans="1:72" x14ac:dyDescent="0.15">
      <c r="A333" t="s">
        <v>72</v>
      </c>
      <c r="B333" t="s">
        <v>5269</v>
      </c>
      <c r="C333" t="s">
        <v>74</v>
      </c>
      <c r="D333" t="s">
        <v>74</v>
      </c>
      <c r="E333" t="s">
        <v>74</v>
      </c>
      <c r="F333" t="s">
        <v>5269</v>
      </c>
      <c r="G333" t="s">
        <v>74</v>
      </c>
      <c r="H333" t="s">
        <v>74</v>
      </c>
      <c r="I333" t="s">
        <v>5270</v>
      </c>
      <c r="J333" t="s">
        <v>5271</v>
      </c>
      <c r="K333" t="s">
        <v>74</v>
      </c>
      <c r="L333" t="s">
        <v>74</v>
      </c>
      <c r="M333" t="s">
        <v>77</v>
      </c>
      <c r="N333" t="s">
        <v>365</v>
      </c>
      <c r="O333" t="s">
        <v>74</v>
      </c>
      <c r="P333" t="s">
        <v>74</v>
      </c>
      <c r="Q333" t="s">
        <v>74</v>
      </c>
      <c r="R333" t="s">
        <v>74</v>
      </c>
      <c r="S333" t="s">
        <v>74</v>
      </c>
      <c r="T333" t="s">
        <v>5272</v>
      </c>
      <c r="U333" t="s">
        <v>5273</v>
      </c>
      <c r="V333" t="s">
        <v>5274</v>
      </c>
      <c r="W333" t="s">
        <v>5275</v>
      </c>
      <c r="X333" t="s">
        <v>5276</v>
      </c>
      <c r="Y333" t="s">
        <v>230</v>
      </c>
      <c r="Z333" t="s">
        <v>5277</v>
      </c>
      <c r="AA333" t="s">
        <v>5278</v>
      </c>
      <c r="AB333" t="s">
        <v>5279</v>
      </c>
      <c r="AC333" t="s">
        <v>74</v>
      </c>
      <c r="AD333" t="s">
        <v>74</v>
      </c>
      <c r="AE333" t="s">
        <v>74</v>
      </c>
      <c r="AF333" t="s">
        <v>74</v>
      </c>
      <c r="AG333">
        <v>62</v>
      </c>
      <c r="AH333">
        <v>42</v>
      </c>
      <c r="AI333">
        <v>46</v>
      </c>
      <c r="AJ333">
        <v>0</v>
      </c>
      <c r="AK333">
        <v>4</v>
      </c>
      <c r="AL333" t="s">
        <v>472</v>
      </c>
      <c r="AM333" t="s">
        <v>473</v>
      </c>
      <c r="AN333" t="s">
        <v>474</v>
      </c>
      <c r="AO333" t="s">
        <v>5280</v>
      </c>
      <c r="AP333" t="s">
        <v>74</v>
      </c>
      <c r="AQ333" t="s">
        <v>74</v>
      </c>
      <c r="AR333" t="s">
        <v>5281</v>
      </c>
      <c r="AS333" t="s">
        <v>5282</v>
      </c>
      <c r="AT333" t="s">
        <v>5283</v>
      </c>
      <c r="AU333">
        <v>2005</v>
      </c>
      <c r="AV333">
        <v>579</v>
      </c>
      <c r="AW333">
        <v>8</v>
      </c>
      <c r="AX333" t="s">
        <v>74</v>
      </c>
      <c r="AY333" t="s">
        <v>74</v>
      </c>
      <c r="AZ333" t="s">
        <v>511</v>
      </c>
      <c r="BA333" t="s">
        <v>74</v>
      </c>
      <c r="BB333">
        <v>1859</v>
      </c>
      <c r="BC333">
        <v>1866</v>
      </c>
      <c r="BD333" t="s">
        <v>74</v>
      </c>
      <c r="BE333" t="s">
        <v>5284</v>
      </c>
      <c r="BF333" t="str">
        <f>HYPERLINK("http://dx.doi.org/10.1016/j.febslet.2005.01.073","http://dx.doi.org/10.1016/j.febslet.2005.01.073")</f>
        <v>http://dx.doi.org/10.1016/j.febslet.2005.01.073</v>
      </c>
      <c r="BG333" t="s">
        <v>74</v>
      </c>
      <c r="BH333" t="s">
        <v>74</v>
      </c>
      <c r="BI333">
        <v>8</v>
      </c>
      <c r="BJ333" t="s">
        <v>1330</v>
      </c>
      <c r="BK333" t="s">
        <v>95</v>
      </c>
      <c r="BL333" t="s">
        <v>1330</v>
      </c>
      <c r="BM333" t="s">
        <v>5285</v>
      </c>
      <c r="BN333">
        <v>15763564</v>
      </c>
      <c r="BO333" t="s">
        <v>539</v>
      </c>
      <c r="BP333" t="s">
        <v>74</v>
      </c>
      <c r="BQ333" t="s">
        <v>74</v>
      </c>
      <c r="BR333" t="s">
        <v>97</v>
      </c>
      <c r="BS333" t="s">
        <v>5286</v>
      </c>
      <c r="BT333" t="str">
        <f>HYPERLINK("https%3A%2F%2Fwww.webofscience.com%2Fwos%2Fwoscc%2Ffull-record%2FWOS:000227657800016","View Full Record in Web of Science")</f>
        <v>View Full Record in Web of Science</v>
      </c>
    </row>
    <row r="334" spans="1:72" x14ac:dyDescent="0.15">
      <c r="A334" t="s">
        <v>72</v>
      </c>
      <c r="B334" t="s">
        <v>5287</v>
      </c>
      <c r="C334" t="s">
        <v>74</v>
      </c>
      <c r="D334" t="s">
        <v>74</v>
      </c>
      <c r="E334" t="s">
        <v>74</v>
      </c>
      <c r="F334" t="s">
        <v>5287</v>
      </c>
      <c r="G334" t="s">
        <v>74</v>
      </c>
      <c r="H334" t="s">
        <v>74</v>
      </c>
      <c r="I334" t="s">
        <v>5288</v>
      </c>
      <c r="J334" t="s">
        <v>927</v>
      </c>
      <c r="K334" t="s">
        <v>74</v>
      </c>
      <c r="L334" t="s">
        <v>74</v>
      </c>
      <c r="M334" t="s">
        <v>77</v>
      </c>
      <c r="N334" t="s">
        <v>78</v>
      </c>
      <c r="O334" t="s">
        <v>74</v>
      </c>
      <c r="P334" t="s">
        <v>74</v>
      </c>
      <c r="Q334" t="s">
        <v>74</v>
      </c>
      <c r="R334" t="s">
        <v>74</v>
      </c>
      <c r="S334" t="s">
        <v>74</v>
      </c>
      <c r="T334" t="s">
        <v>5289</v>
      </c>
      <c r="U334" t="s">
        <v>5290</v>
      </c>
      <c r="V334" t="s">
        <v>5291</v>
      </c>
      <c r="W334" t="s">
        <v>5292</v>
      </c>
      <c r="X334" t="s">
        <v>5293</v>
      </c>
      <c r="Y334" t="s">
        <v>5294</v>
      </c>
      <c r="Z334" t="s">
        <v>5295</v>
      </c>
      <c r="AA334" t="s">
        <v>74</v>
      </c>
      <c r="AB334" t="s">
        <v>5296</v>
      </c>
      <c r="AC334" t="s">
        <v>74</v>
      </c>
      <c r="AD334" t="s">
        <v>74</v>
      </c>
      <c r="AE334" t="s">
        <v>74</v>
      </c>
      <c r="AF334" t="s">
        <v>74</v>
      </c>
      <c r="AG334">
        <v>51</v>
      </c>
      <c r="AH334">
        <v>40</v>
      </c>
      <c r="AI334">
        <v>44</v>
      </c>
      <c r="AJ334">
        <v>1</v>
      </c>
      <c r="AK334">
        <v>10</v>
      </c>
      <c r="AL334" t="s">
        <v>435</v>
      </c>
      <c r="AM334" t="s">
        <v>436</v>
      </c>
      <c r="AN334" t="s">
        <v>437</v>
      </c>
      <c r="AO334" t="s">
        <v>936</v>
      </c>
      <c r="AP334" t="s">
        <v>937</v>
      </c>
      <c r="AQ334" t="s">
        <v>74</v>
      </c>
      <c r="AR334" t="s">
        <v>938</v>
      </c>
      <c r="AS334" t="s">
        <v>939</v>
      </c>
      <c r="AT334" t="s">
        <v>5283</v>
      </c>
      <c r="AU334">
        <v>2005</v>
      </c>
      <c r="AV334">
        <v>316</v>
      </c>
      <c r="AW334">
        <v>2</v>
      </c>
      <c r="AX334" t="s">
        <v>74</v>
      </c>
      <c r="AY334" t="s">
        <v>74</v>
      </c>
      <c r="AZ334" t="s">
        <v>74</v>
      </c>
      <c r="BA334" t="s">
        <v>74</v>
      </c>
      <c r="BB334">
        <v>213</v>
      </c>
      <c r="BC334">
        <v>229</v>
      </c>
      <c r="BD334" t="s">
        <v>74</v>
      </c>
      <c r="BE334" t="s">
        <v>5297</v>
      </c>
      <c r="BF334" t="str">
        <f>HYPERLINK("http://dx.doi.org/10.1016/j.jembe.2004.11.007","http://dx.doi.org/10.1016/j.jembe.2004.11.007")</f>
        <v>http://dx.doi.org/10.1016/j.jembe.2004.11.007</v>
      </c>
      <c r="BG334" t="s">
        <v>74</v>
      </c>
      <c r="BH334" t="s">
        <v>74</v>
      </c>
      <c r="BI334">
        <v>17</v>
      </c>
      <c r="BJ334" t="s">
        <v>941</v>
      </c>
      <c r="BK334" t="s">
        <v>95</v>
      </c>
      <c r="BL334" t="s">
        <v>942</v>
      </c>
      <c r="BM334" t="s">
        <v>5298</v>
      </c>
      <c r="BN334" t="s">
        <v>74</v>
      </c>
      <c r="BO334" t="s">
        <v>750</v>
      </c>
      <c r="BP334" t="s">
        <v>74</v>
      </c>
      <c r="BQ334" t="s">
        <v>74</v>
      </c>
      <c r="BR334" t="s">
        <v>97</v>
      </c>
      <c r="BS334" t="s">
        <v>5299</v>
      </c>
      <c r="BT334" t="str">
        <f>HYPERLINK("https%3A%2F%2Fwww.webofscience.com%2Fwos%2Fwoscc%2Ffull-record%2FWOS:000227931400008","View Full Record in Web of Science")</f>
        <v>View Full Record in Web of Science</v>
      </c>
    </row>
    <row r="335" spans="1:72" x14ac:dyDescent="0.15">
      <c r="A335" t="s">
        <v>72</v>
      </c>
      <c r="B335" t="s">
        <v>5300</v>
      </c>
      <c r="C335" t="s">
        <v>74</v>
      </c>
      <c r="D335" t="s">
        <v>74</v>
      </c>
      <c r="E335" t="s">
        <v>74</v>
      </c>
      <c r="F335" t="s">
        <v>5300</v>
      </c>
      <c r="G335" t="s">
        <v>74</v>
      </c>
      <c r="H335" t="s">
        <v>74</v>
      </c>
      <c r="I335" t="s">
        <v>5301</v>
      </c>
      <c r="J335" t="s">
        <v>668</v>
      </c>
      <c r="K335" t="s">
        <v>74</v>
      </c>
      <c r="L335" t="s">
        <v>74</v>
      </c>
      <c r="M335" t="s">
        <v>77</v>
      </c>
      <c r="N335" t="s">
        <v>78</v>
      </c>
      <c r="O335" t="s">
        <v>74</v>
      </c>
      <c r="P335" t="s">
        <v>74</v>
      </c>
      <c r="Q335" t="s">
        <v>74</v>
      </c>
      <c r="R335" t="s">
        <v>74</v>
      </c>
      <c r="S335" t="s">
        <v>74</v>
      </c>
      <c r="T335" t="s">
        <v>74</v>
      </c>
      <c r="U335" t="s">
        <v>5302</v>
      </c>
      <c r="V335" t="s">
        <v>5303</v>
      </c>
      <c r="W335" t="s">
        <v>5304</v>
      </c>
      <c r="X335" t="s">
        <v>5305</v>
      </c>
      <c r="Y335" t="s">
        <v>5306</v>
      </c>
      <c r="Z335" t="s">
        <v>5307</v>
      </c>
      <c r="AA335" t="s">
        <v>74</v>
      </c>
      <c r="AB335" t="s">
        <v>5308</v>
      </c>
      <c r="AC335" t="s">
        <v>5309</v>
      </c>
      <c r="AD335" t="s">
        <v>5310</v>
      </c>
      <c r="AE335" t="s">
        <v>74</v>
      </c>
      <c r="AF335" t="s">
        <v>74</v>
      </c>
      <c r="AG335">
        <v>48</v>
      </c>
      <c r="AH335">
        <v>188</v>
      </c>
      <c r="AI335">
        <v>208</v>
      </c>
      <c r="AJ335">
        <v>5</v>
      </c>
      <c r="AK335">
        <v>38</v>
      </c>
      <c r="AL335" t="s">
        <v>676</v>
      </c>
      <c r="AM335" t="s">
        <v>528</v>
      </c>
      <c r="AN335" t="s">
        <v>677</v>
      </c>
      <c r="AO335" t="s">
        <v>678</v>
      </c>
      <c r="AP335" t="s">
        <v>74</v>
      </c>
      <c r="AQ335" t="s">
        <v>74</v>
      </c>
      <c r="AR335" t="s">
        <v>668</v>
      </c>
      <c r="AS335" t="s">
        <v>679</v>
      </c>
      <c r="AT335" t="s">
        <v>5311</v>
      </c>
      <c r="AU335">
        <v>2005</v>
      </c>
      <c r="AV335">
        <v>307</v>
      </c>
      <c r="AW335">
        <v>5716</v>
      </c>
      <c r="AX335" t="s">
        <v>74</v>
      </c>
      <c r="AY335" t="s">
        <v>74</v>
      </c>
      <c r="AZ335" t="s">
        <v>74</v>
      </c>
      <c r="BA335" t="s">
        <v>74</v>
      </c>
      <c r="BB335">
        <v>1741</v>
      </c>
      <c r="BC335">
        <v>1746</v>
      </c>
      <c r="BD335" t="s">
        <v>74</v>
      </c>
      <c r="BE335" t="s">
        <v>5312</v>
      </c>
      <c r="BF335" t="str">
        <f>HYPERLINK("http://dx.doi.org/10.1126/science.1102163","http://dx.doi.org/10.1126/science.1102163")</f>
        <v>http://dx.doi.org/10.1126/science.1102163</v>
      </c>
      <c r="BG335" t="s">
        <v>74</v>
      </c>
      <c r="BH335" t="s">
        <v>74</v>
      </c>
      <c r="BI335">
        <v>6</v>
      </c>
      <c r="BJ335" t="s">
        <v>682</v>
      </c>
      <c r="BK335" t="s">
        <v>95</v>
      </c>
      <c r="BL335" t="s">
        <v>683</v>
      </c>
      <c r="BM335" t="s">
        <v>5313</v>
      </c>
      <c r="BN335">
        <v>15774752</v>
      </c>
      <c r="BO335" t="s">
        <v>74</v>
      </c>
      <c r="BP335" t="s">
        <v>74</v>
      </c>
      <c r="BQ335" t="s">
        <v>74</v>
      </c>
      <c r="BR335" t="s">
        <v>97</v>
      </c>
      <c r="BS335" t="s">
        <v>5314</v>
      </c>
      <c r="BT335" t="str">
        <f>HYPERLINK("https%3A%2F%2Fwww.webofscience.com%2Fwos%2Fwoscc%2Ffull-record%2FWOS:000227883900036","View Full Record in Web of Science")</f>
        <v>View Full Record in Web of Science</v>
      </c>
    </row>
    <row r="336" spans="1:72" x14ac:dyDescent="0.15">
      <c r="A336" t="s">
        <v>72</v>
      </c>
      <c r="B336" t="s">
        <v>5315</v>
      </c>
      <c r="C336" t="s">
        <v>74</v>
      </c>
      <c r="D336" t="s">
        <v>74</v>
      </c>
      <c r="E336" t="s">
        <v>74</v>
      </c>
      <c r="F336" t="s">
        <v>5315</v>
      </c>
      <c r="G336" t="s">
        <v>74</v>
      </c>
      <c r="H336" t="s">
        <v>74</v>
      </c>
      <c r="I336" t="s">
        <v>5316</v>
      </c>
      <c r="J336" t="s">
        <v>519</v>
      </c>
      <c r="K336" t="s">
        <v>74</v>
      </c>
      <c r="L336" t="s">
        <v>74</v>
      </c>
      <c r="M336" t="s">
        <v>77</v>
      </c>
      <c r="N336" t="s">
        <v>78</v>
      </c>
      <c r="O336" t="s">
        <v>74</v>
      </c>
      <c r="P336" t="s">
        <v>74</v>
      </c>
      <c r="Q336" t="s">
        <v>74</v>
      </c>
      <c r="R336" t="s">
        <v>74</v>
      </c>
      <c r="S336" t="s">
        <v>74</v>
      </c>
      <c r="T336" t="s">
        <v>74</v>
      </c>
      <c r="U336" t="s">
        <v>5317</v>
      </c>
      <c r="V336" t="s">
        <v>5318</v>
      </c>
      <c r="W336" t="s">
        <v>5319</v>
      </c>
      <c r="X336" t="s">
        <v>5320</v>
      </c>
      <c r="Y336" t="s">
        <v>5321</v>
      </c>
      <c r="Z336" t="s">
        <v>5322</v>
      </c>
      <c r="AA336" t="s">
        <v>5323</v>
      </c>
      <c r="AB336" t="s">
        <v>5324</v>
      </c>
      <c r="AC336" t="s">
        <v>74</v>
      </c>
      <c r="AD336" t="s">
        <v>74</v>
      </c>
      <c r="AE336" t="s">
        <v>74</v>
      </c>
      <c r="AF336" t="s">
        <v>74</v>
      </c>
      <c r="AG336">
        <v>27</v>
      </c>
      <c r="AH336">
        <v>14</v>
      </c>
      <c r="AI336">
        <v>15</v>
      </c>
      <c r="AJ336">
        <v>0</v>
      </c>
      <c r="AK336">
        <v>5</v>
      </c>
      <c r="AL336" t="s">
        <v>527</v>
      </c>
      <c r="AM336" t="s">
        <v>528</v>
      </c>
      <c r="AN336" t="s">
        <v>529</v>
      </c>
      <c r="AO336" t="s">
        <v>530</v>
      </c>
      <c r="AP336" t="s">
        <v>531</v>
      </c>
      <c r="AQ336" t="s">
        <v>74</v>
      </c>
      <c r="AR336" t="s">
        <v>532</v>
      </c>
      <c r="AS336" t="s">
        <v>533</v>
      </c>
      <c r="AT336" t="s">
        <v>5325</v>
      </c>
      <c r="AU336">
        <v>2005</v>
      </c>
      <c r="AV336">
        <v>32</v>
      </c>
      <c r="AW336">
        <v>6</v>
      </c>
      <c r="AX336" t="s">
        <v>74</v>
      </c>
      <c r="AY336" t="s">
        <v>74</v>
      </c>
      <c r="AZ336" t="s">
        <v>74</v>
      </c>
      <c r="BA336" t="s">
        <v>74</v>
      </c>
      <c r="BB336" t="s">
        <v>74</v>
      </c>
      <c r="BC336" t="s">
        <v>74</v>
      </c>
      <c r="BD336" t="s">
        <v>5326</v>
      </c>
      <c r="BE336" t="s">
        <v>5327</v>
      </c>
      <c r="BF336" t="str">
        <f>HYPERLINK("http://dx.doi.org/10.1029/2004GL021851","http://dx.doi.org/10.1029/2004GL021851")</f>
        <v>http://dx.doi.org/10.1029/2004GL021851</v>
      </c>
      <c r="BG336" t="s">
        <v>74</v>
      </c>
      <c r="BH336" t="s">
        <v>74</v>
      </c>
      <c r="BI336">
        <v>4</v>
      </c>
      <c r="BJ336" t="s">
        <v>537</v>
      </c>
      <c r="BK336" t="s">
        <v>95</v>
      </c>
      <c r="BL336" t="s">
        <v>307</v>
      </c>
      <c r="BM336" t="s">
        <v>5328</v>
      </c>
      <c r="BN336" t="s">
        <v>74</v>
      </c>
      <c r="BO336" t="s">
        <v>539</v>
      </c>
      <c r="BP336" t="s">
        <v>74</v>
      </c>
      <c r="BQ336" t="s">
        <v>74</v>
      </c>
      <c r="BR336" t="s">
        <v>97</v>
      </c>
      <c r="BS336" t="s">
        <v>5329</v>
      </c>
      <c r="BT336" t="str">
        <f>HYPERLINK("https%3A%2F%2Fwww.webofscience.com%2Fwos%2Fwoscc%2Ffull-record%2FWOS:000227874300003","View Full Record in Web of Science")</f>
        <v>View Full Record in Web of Science</v>
      </c>
    </row>
    <row r="337" spans="1:72" x14ac:dyDescent="0.15">
      <c r="A337" t="s">
        <v>72</v>
      </c>
      <c r="B337" t="s">
        <v>5330</v>
      </c>
      <c r="C337" t="s">
        <v>74</v>
      </c>
      <c r="D337" t="s">
        <v>74</v>
      </c>
      <c r="E337" t="s">
        <v>74</v>
      </c>
      <c r="F337" t="s">
        <v>5330</v>
      </c>
      <c r="G337" t="s">
        <v>74</v>
      </c>
      <c r="H337" t="s">
        <v>74</v>
      </c>
      <c r="I337" t="s">
        <v>5331</v>
      </c>
      <c r="J337" t="s">
        <v>1868</v>
      </c>
      <c r="K337" t="s">
        <v>74</v>
      </c>
      <c r="L337" t="s">
        <v>74</v>
      </c>
      <c r="M337" t="s">
        <v>77</v>
      </c>
      <c r="N337" t="s">
        <v>78</v>
      </c>
      <c r="O337" t="s">
        <v>74</v>
      </c>
      <c r="P337" t="s">
        <v>74</v>
      </c>
      <c r="Q337" t="s">
        <v>74</v>
      </c>
      <c r="R337" t="s">
        <v>74</v>
      </c>
      <c r="S337" t="s">
        <v>74</v>
      </c>
      <c r="T337" t="s">
        <v>74</v>
      </c>
      <c r="U337" t="s">
        <v>5332</v>
      </c>
      <c r="V337" t="s">
        <v>5333</v>
      </c>
      <c r="W337" t="s">
        <v>5334</v>
      </c>
      <c r="X337" t="s">
        <v>5335</v>
      </c>
      <c r="Y337" t="s">
        <v>5336</v>
      </c>
      <c r="Z337" t="s">
        <v>74</v>
      </c>
      <c r="AA337" t="s">
        <v>5337</v>
      </c>
      <c r="AB337" t="s">
        <v>5338</v>
      </c>
      <c r="AC337" t="s">
        <v>74</v>
      </c>
      <c r="AD337" t="s">
        <v>74</v>
      </c>
      <c r="AE337" t="s">
        <v>74</v>
      </c>
      <c r="AF337" t="s">
        <v>74</v>
      </c>
      <c r="AG337">
        <v>43</v>
      </c>
      <c r="AH337">
        <v>6</v>
      </c>
      <c r="AI337">
        <v>6</v>
      </c>
      <c r="AJ337">
        <v>0</v>
      </c>
      <c r="AK337">
        <v>4</v>
      </c>
      <c r="AL337" t="s">
        <v>527</v>
      </c>
      <c r="AM337" t="s">
        <v>528</v>
      </c>
      <c r="AN337" t="s">
        <v>529</v>
      </c>
      <c r="AO337" t="s">
        <v>1877</v>
      </c>
      <c r="AP337" t="s">
        <v>1878</v>
      </c>
      <c r="AQ337" t="s">
        <v>74</v>
      </c>
      <c r="AR337" t="s">
        <v>1879</v>
      </c>
      <c r="AS337" t="s">
        <v>1880</v>
      </c>
      <c r="AT337" t="s">
        <v>5325</v>
      </c>
      <c r="AU337">
        <v>2005</v>
      </c>
      <c r="AV337">
        <v>110</v>
      </c>
      <c r="AW337" t="s">
        <v>5264</v>
      </c>
      <c r="AX337" t="s">
        <v>74</v>
      </c>
      <c r="AY337" t="s">
        <v>74</v>
      </c>
      <c r="AZ337" t="s">
        <v>74</v>
      </c>
      <c r="BA337" t="s">
        <v>74</v>
      </c>
      <c r="BB337" t="s">
        <v>74</v>
      </c>
      <c r="BC337" t="s">
        <v>74</v>
      </c>
      <c r="BD337" t="s">
        <v>5339</v>
      </c>
      <c r="BE337" t="s">
        <v>5340</v>
      </c>
      <c r="BF337" t="str">
        <f>HYPERLINK("http://dx.doi.org/10.1029/2004JD005339","http://dx.doi.org/10.1029/2004JD005339")</f>
        <v>http://dx.doi.org/10.1029/2004JD005339</v>
      </c>
      <c r="BG337" t="s">
        <v>74</v>
      </c>
      <c r="BH337" t="s">
        <v>74</v>
      </c>
      <c r="BI337">
        <v>14</v>
      </c>
      <c r="BJ337" t="s">
        <v>401</v>
      </c>
      <c r="BK337" t="s">
        <v>95</v>
      </c>
      <c r="BL337" t="s">
        <v>401</v>
      </c>
      <c r="BM337" t="s">
        <v>5341</v>
      </c>
      <c r="BN337" t="s">
        <v>74</v>
      </c>
      <c r="BO337" t="s">
        <v>74</v>
      </c>
      <c r="BP337" t="s">
        <v>74</v>
      </c>
      <c r="BQ337" t="s">
        <v>74</v>
      </c>
      <c r="BR337" t="s">
        <v>97</v>
      </c>
      <c r="BS337" t="s">
        <v>5342</v>
      </c>
      <c r="BT337" t="str">
        <f>HYPERLINK("https%3A%2F%2Fwww.webofscience.com%2Fwos%2Fwoscc%2Ffull-record%2FWOS:000227874900005","View Full Record in Web of Science")</f>
        <v>View Full Record in Web of Science</v>
      </c>
    </row>
    <row r="338" spans="1:72" x14ac:dyDescent="0.15">
      <c r="A338" t="s">
        <v>72</v>
      </c>
      <c r="B338" t="s">
        <v>5343</v>
      </c>
      <c r="C338" t="s">
        <v>74</v>
      </c>
      <c r="D338" t="s">
        <v>74</v>
      </c>
      <c r="E338" t="s">
        <v>74</v>
      </c>
      <c r="F338" t="s">
        <v>5343</v>
      </c>
      <c r="G338" t="s">
        <v>74</v>
      </c>
      <c r="H338" t="s">
        <v>74</v>
      </c>
      <c r="I338" t="s">
        <v>5344</v>
      </c>
      <c r="J338" t="s">
        <v>1868</v>
      </c>
      <c r="K338" t="s">
        <v>74</v>
      </c>
      <c r="L338" t="s">
        <v>74</v>
      </c>
      <c r="M338" t="s">
        <v>77</v>
      </c>
      <c r="N338" t="s">
        <v>78</v>
      </c>
      <c r="O338" t="s">
        <v>74</v>
      </c>
      <c r="P338" t="s">
        <v>74</v>
      </c>
      <c r="Q338" t="s">
        <v>74</v>
      </c>
      <c r="R338" t="s">
        <v>74</v>
      </c>
      <c r="S338" t="s">
        <v>74</v>
      </c>
      <c r="T338" t="s">
        <v>74</v>
      </c>
      <c r="U338" t="s">
        <v>5345</v>
      </c>
      <c r="V338" t="s">
        <v>5346</v>
      </c>
      <c r="W338" t="s">
        <v>5347</v>
      </c>
      <c r="X338" t="s">
        <v>74</v>
      </c>
      <c r="Y338" t="s">
        <v>5348</v>
      </c>
      <c r="Z338" t="s">
        <v>74</v>
      </c>
      <c r="AA338" t="s">
        <v>5349</v>
      </c>
      <c r="AB338" t="s">
        <v>5350</v>
      </c>
      <c r="AC338" t="s">
        <v>74</v>
      </c>
      <c r="AD338" t="s">
        <v>74</v>
      </c>
      <c r="AE338" t="s">
        <v>74</v>
      </c>
      <c r="AF338" t="s">
        <v>74</v>
      </c>
      <c r="AG338">
        <v>48</v>
      </c>
      <c r="AH338">
        <v>16</v>
      </c>
      <c r="AI338">
        <v>16</v>
      </c>
      <c r="AJ338">
        <v>0</v>
      </c>
      <c r="AK338">
        <v>6</v>
      </c>
      <c r="AL338" t="s">
        <v>527</v>
      </c>
      <c r="AM338" t="s">
        <v>528</v>
      </c>
      <c r="AN338" t="s">
        <v>529</v>
      </c>
      <c r="AO338" t="s">
        <v>1877</v>
      </c>
      <c r="AP338" t="s">
        <v>1878</v>
      </c>
      <c r="AQ338" t="s">
        <v>74</v>
      </c>
      <c r="AR338" t="s">
        <v>1879</v>
      </c>
      <c r="AS338" t="s">
        <v>1880</v>
      </c>
      <c r="AT338" t="s">
        <v>5325</v>
      </c>
      <c r="AU338">
        <v>2005</v>
      </c>
      <c r="AV338">
        <v>110</v>
      </c>
      <c r="AW338" t="s">
        <v>5264</v>
      </c>
      <c r="AX338" t="s">
        <v>74</v>
      </c>
      <c r="AY338" t="s">
        <v>74</v>
      </c>
      <c r="AZ338" t="s">
        <v>74</v>
      </c>
      <c r="BA338" t="s">
        <v>74</v>
      </c>
      <c r="BB338" t="s">
        <v>74</v>
      </c>
      <c r="BC338" t="s">
        <v>74</v>
      </c>
      <c r="BD338" t="s">
        <v>5351</v>
      </c>
      <c r="BE338" t="s">
        <v>5352</v>
      </c>
      <c r="BF338" t="str">
        <f>HYPERLINK("http://dx.doi.org/10.1029/2004JD005268","http://dx.doi.org/10.1029/2004JD005268")</f>
        <v>http://dx.doi.org/10.1029/2004JD005268</v>
      </c>
      <c r="BG338" t="s">
        <v>74</v>
      </c>
      <c r="BH338" t="s">
        <v>74</v>
      </c>
      <c r="BI338">
        <v>12</v>
      </c>
      <c r="BJ338" t="s">
        <v>401</v>
      </c>
      <c r="BK338" t="s">
        <v>95</v>
      </c>
      <c r="BL338" t="s">
        <v>401</v>
      </c>
      <c r="BM338" t="s">
        <v>5341</v>
      </c>
      <c r="BN338" t="s">
        <v>74</v>
      </c>
      <c r="BO338" t="s">
        <v>750</v>
      </c>
      <c r="BP338" t="s">
        <v>74</v>
      </c>
      <c r="BQ338" t="s">
        <v>74</v>
      </c>
      <c r="BR338" t="s">
        <v>97</v>
      </c>
      <c r="BS338" t="s">
        <v>5353</v>
      </c>
      <c r="BT338" t="str">
        <f>HYPERLINK("https%3A%2F%2Fwww.webofscience.com%2Fwos%2Fwoscc%2Ffull-record%2FWOS:000227874900003","View Full Record in Web of Science")</f>
        <v>View Full Record in Web of Science</v>
      </c>
    </row>
    <row r="339" spans="1:72" x14ac:dyDescent="0.15">
      <c r="A339" t="s">
        <v>72</v>
      </c>
      <c r="B339" t="s">
        <v>5354</v>
      </c>
      <c r="C339" t="s">
        <v>74</v>
      </c>
      <c r="D339" t="s">
        <v>74</v>
      </c>
      <c r="E339" t="s">
        <v>74</v>
      </c>
      <c r="F339" t="s">
        <v>5354</v>
      </c>
      <c r="G339" t="s">
        <v>74</v>
      </c>
      <c r="H339" t="s">
        <v>74</v>
      </c>
      <c r="I339" t="s">
        <v>5355</v>
      </c>
      <c r="J339" t="s">
        <v>5356</v>
      </c>
      <c r="K339" t="s">
        <v>74</v>
      </c>
      <c r="L339" t="s">
        <v>74</v>
      </c>
      <c r="M339" t="s">
        <v>77</v>
      </c>
      <c r="N339" t="s">
        <v>78</v>
      </c>
      <c r="O339" t="s">
        <v>74</v>
      </c>
      <c r="P339" t="s">
        <v>74</v>
      </c>
      <c r="Q339" t="s">
        <v>74</v>
      </c>
      <c r="R339" t="s">
        <v>74</v>
      </c>
      <c r="S339" t="s">
        <v>74</v>
      </c>
      <c r="T339" t="s">
        <v>5357</v>
      </c>
      <c r="U339" t="s">
        <v>5358</v>
      </c>
      <c r="V339" t="s">
        <v>5359</v>
      </c>
      <c r="W339" t="s">
        <v>5360</v>
      </c>
      <c r="X339" t="s">
        <v>5361</v>
      </c>
      <c r="Y339" t="s">
        <v>5362</v>
      </c>
      <c r="Z339" t="s">
        <v>5363</v>
      </c>
      <c r="AA339" t="s">
        <v>5364</v>
      </c>
      <c r="AB339" t="s">
        <v>5365</v>
      </c>
      <c r="AC339" t="s">
        <v>74</v>
      </c>
      <c r="AD339" t="s">
        <v>74</v>
      </c>
      <c r="AE339" t="s">
        <v>74</v>
      </c>
      <c r="AF339" t="s">
        <v>74</v>
      </c>
      <c r="AG339">
        <v>64</v>
      </c>
      <c r="AH339">
        <v>33</v>
      </c>
      <c r="AI339">
        <v>33</v>
      </c>
      <c r="AJ339">
        <v>0</v>
      </c>
      <c r="AK339">
        <v>14</v>
      </c>
      <c r="AL339" t="s">
        <v>435</v>
      </c>
      <c r="AM339" t="s">
        <v>436</v>
      </c>
      <c r="AN339" t="s">
        <v>437</v>
      </c>
      <c r="AO339" t="s">
        <v>5366</v>
      </c>
      <c r="AP339" t="s">
        <v>5367</v>
      </c>
      <c r="AQ339" t="s">
        <v>74</v>
      </c>
      <c r="AR339" t="s">
        <v>5356</v>
      </c>
      <c r="AS339" t="s">
        <v>5368</v>
      </c>
      <c r="AT339" t="s">
        <v>5369</v>
      </c>
      <c r="AU339">
        <v>2005</v>
      </c>
      <c r="AV339">
        <v>397</v>
      </c>
      <c r="AW339" t="s">
        <v>961</v>
      </c>
      <c r="AX339" t="s">
        <v>74</v>
      </c>
      <c r="AY339" t="s">
        <v>74</v>
      </c>
      <c r="AZ339" t="s">
        <v>74</v>
      </c>
      <c r="BA339" t="s">
        <v>74</v>
      </c>
      <c r="BB339">
        <v>241</v>
      </c>
      <c r="BC339">
        <v>259</v>
      </c>
      <c r="BD339" t="s">
        <v>74</v>
      </c>
      <c r="BE339" t="s">
        <v>5370</v>
      </c>
      <c r="BF339" t="str">
        <f>HYPERLINK("http://dx.doi.org/10.1016/j.tecto.2004.12.011","http://dx.doi.org/10.1016/j.tecto.2004.12.011")</f>
        <v>http://dx.doi.org/10.1016/j.tecto.2004.12.011</v>
      </c>
      <c r="BG339" t="s">
        <v>74</v>
      </c>
      <c r="BH339" t="s">
        <v>74</v>
      </c>
      <c r="BI339">
        <v>19</v>
      </c>
      <c r="BJ339" t="s">
        <v>381</v>
      </c>
      <c r="BK339" t="s">
        <v>95</v>
      </c>
      <c r="BL339" t="s">
        <v>381</v>
      </c>
      <c r="BM339" t="s">
        <v>5371</v>
      </c>
      <c r="BN339" t="s">
        <v>74</v>
      </c>
      <c r="BO339" t="s">
        <v>74</v>
      </c>
      <c r="BP339" t="s">
        <v>74</v>
      </c>
      <c r="BQ339" t="s">
        <v>74</v>
      </c>
      <c r="BR339" t="s">
        <v>97</v>
      </c>
      <c r="BS339" t="s">
        <v>5372</v>
      </c>
      <c r="BT339" t="str">
        <f>HYPERLINK("https%3A%2F%2Fwww.webofscience.com%2Fwos%2Fwoscc%2Ffull-record%2FWOS:000227826000005","View Full Record in Web of Science")</f>
        <v>View Full Record in Web of Science</v>
      </c>
    </row>
    <row r="340" spans="1:72" x14ac:dyDescent="0.15">
      <c r="A340" t="s">
        <v>72</v>
      </c>
      <c r="B340" t="s">
        <v>482</v>
      </c>
      <c r="C340" t="s">
        <v>74</v>
      </c>
      <c r="D340" t="s">
        <v>74</v>
      </c>
      <c r="E340" t="s">
        <v>74</v>
      </c>
      <c r="F340" t="s">
        <v>482</v>
      </c>
      <c r="G340" t="s">
        <v>74</v>
      </c>
      <c r="H340" t="s">
        <v>74</v>
      </c>
      <c r="I340" t="s">
        <v>5373</v>
      </c>
      <c r="J340" t="s">
        <v>462</v>
      </c>
      <c r="K340" t="s">
        <v>74</v>
      </c>
      <c r="L340" t="s">
        <v>74</v>
      </c>
      <c r="M340" t="s">
        <v>77</v>
      </c>
      <c r="N340" t="s">
        <v>78</v>
      </c>
      <c r="O340" t="s">
        <v>74</v>
      </c>
      <c r="P340" t="s">
        <v>74</v>
      </c>
      <c r="Q340" t="s">
        <v>74</v>
      </c>
      <c r="R340" t="s">
        <v>74</v>
      </c>
      <c r="S340" t="s">
        <v>74</v>
      </c>
      <c r="T340" t="s">
        <v>5374</v>
      </c>
      <c r="U340" t="s">
        <v>5375</v>
      </c>
      <c r="V340" t="s">
        <v>5376</v>
      </c>
      <c r="W340" t="s">
        <v>5377</v>
      </c>
      <c r="X340" t="s">
        <v>5378</v>
      </c>
      <c r="Y340" t="s">
        <v>5379</v>
      </c>
      <c r="Z340" t="s">
        <v>5380</v>
      </c>
      <c r="AA340" t="s">
        <v>485</v>
      </c>
      <c r="AB340" t="s">
        <v>5381</v>
      </c>
      <c r="AC340" t="s">
        <v>74</v>
      </c>
      <c r="AD340" t="s">
        <v>74</v>
      </c>
      <c r="AE340" t="s">
        <v>74</v>
      </c>
      <c r="AF340" t="s">
        <v>74</v>
      </c>
      <c r="AG340">
        <v>26</v>
      </c>
      <c r="AH340">
        <v>839</v>
      </c>
      <c r="AI340">
        <v>950</v>
      </c>
      <c r="AJ340">
        <v>2</v>
      </c>
      <c r="AK340">
        <v>202</v>
      </c>
      <c r="AL340" t="s">
        <v>487</v>
      </c>
      <c r="AM340" t="s">
        <v>488</v>
      </c>
      <c r="AN340" t="s">
        <v>489</v>
      </c>
      <c r="AO340" t="s">
        <v>475</v>
      </c>
      <c r="AP340" t="s">
        <v>74</v>
      </c>
      <c r="AQ340" t="s">
        <v>74</v>
      </c>
      <c r="AR340" t="s">
        <v>477</v>
      </c>
      <c r="AS340" t="s">
        <v>478</v>
      </c>
      <c r="AT340" t="s">
        <v>5382</v>
      </c>
      <c r="AU340">
        <v>2005</v>
      </c>
      <c r="AV340">
        <v>25</v>
      </c>
      <c r="AW340">
        <v>3</v>
      </c>
      <c r="AX340" t="s">
        <v>74</v>
      </c>
      <c r="AY340" t="s">
        <v>74</v>
      </c>
      <c r="AZ340" t="s">
        <v>74</v>
      </c>
      <c r="BA340" t="s">
        <v>74</v>
      </c>
      <c r="BB340">
        <v>279</v>
      </c>
      <c r="BC340">
        <v>294</v>
      </c>
      <c r="BD340" t="s">
        <v>74</v>
      </c>
      <c r="BE340" t="s">
        <v>5383</v>
      </c>
      <c r="BF340" t="str">
        <f>HYPERLINK("http://dx.doi.org/10.1002/joc.1130","http://dx.doi.org/10.1002/joc.1130")</f>
        <v>http://dx.doi.org/10.1002/joc.1130</v>
      </c>
      <c r="BG340" t="s">
        <v>74</v>
      </c>
      <c r="BH340" t="s">
        <v>74</v>
      </c>
      <c r="BI340">
        <v>16</v>
      </c>
      <c r="BJ340" t="s">
        <v>401</v>
      </c>
      <c r="BK340" t="s">
        <v>95</v>
      </c>
      <c r="BL340" t="s">
        <v>401</v>
      </c>
      <c r="BM340" t="s">
        <v>5384</v>
      </c>
      <c r="BN340" t="s">
        <v>74</v>
      </c>
      <c r="BO340" t="s">
        <v>74</v>
      </c>
      <c r="BP340" t="s">
        <v>74</v>
      </c>
      <c r="BQ340" t="s">
        <v>74</v>
      </c>
      <c r="BR340" t="s">
        <v>97</v>
      </c>
      <c r="BS340" t="s">
        <v>5385</v>
      </c>
      <c r="BT340" t="str">
        <f>HYPERLINK("https%3A%2F%2Fwww.webofscience.com%2Fwos%2Fwoscc%2Ffull-record%2FWOS:000227870000001","View Full Record in Web of Science")</f>
        <v>View Full Record in Web of Science</v>
      </c>
    </row>
    <row r="341" spans="1:72" x14ac:dyDescent="0.15">
      <c r="A341" t="s">
        <v>72</v>
      </c>
      <c r="B341" t="s">
        <v>5386</v>
      </c>
      <c r="C341" t="s">
        <v>74</v>
      </c>
      <c r="D341" t="s">
        <v>74</v>
      </c>
      <c r="E341" t="s">
        <v>74</v>
      </c>
      <c r="F341" t="s">
        <v>5386</v>
      </c>
      <c r="G341" t="s">
        <v>74</v>
      </c>
      <c r="H341" t="s">
        <v>74</v>
      </c>
      <c r="I341" t="s">
        <v>5387</v>
      </c>
      <c r="J341" t="s">
        <v>893</v>
      </c>
      <c r="K341" t="s">
        <v>74</v>
      </c>
      <c r="L341" t="s">
        <v>74</v>
      </c>
      <c r="M341" t="s">
        <v>77</v>
      </c>
      <c r="N341" t="s">
        <v>78</v>
      </c>
      <c r="O341" t="s">
        <v>74</v>
      </c>
      <c r="P341" t="s">
        <v>74</v>
      </c>
      <c r="Q341" t="s">
        <v>74</v>
      </c>
      <c r="R341" t="s">
        <v>74</v>
      </c>
      <c r="S341" t="s">
        <v>74</v>
      </c>
      <c r="T341" t="s">
        <v>74</v>
      </c>
      <c r="U341" t="s">
        <v>5388</v>
      </c>
      <c r="V341" t="s">
        <v>5389</v>
      </c>
      <c r="W341" t="s">
        <v>5390</v>
      </c>
      <c r="X341" t="s">
        <v>825</v>
      </c>
      <c r="Y341" t="s">
        <v>5391</v>
      </c>
      <c r="Z341" t="s">
        <v>5392</v>
      </c>
      <c r="AA341" t="s">
        <v>5393</v>
      </c>
      <c r="AB341" t="s">
        <v>829</v>
      </c>
      <c r="AC341" t="s">
        <v>74</v>
      </c>
      <c r="AD341" t="s">
        <v>74</v>
      </c>
      <c r="AE341" t="s">
        <v>74</v>
      </c>
      <c r="AF341" t="s">
        <v>74</v>
      </c>
      <c r="AG341">
        <v>46</v>
      </c>
      <c r="AH341">
        <v>115</v>
      </c>
      <c r="AI341">
        <v>135</v>
      </c>
      <c r="AJ341">
        <v>2</v>
      </c>
      <c r="AK341">
        <v>20</v>
      </c>
      <c r="AL341" t="s">
        <v>902</v>
      </c>
      <c r="AM341" t="s">
        <v>903</v>
      </c>
      <c r="AN341" t="s">
        <v>904</v>
      </c>
      <c r="AO341" t="s">
        <v>905</v>
      </c>
      <c r="AP341" t="s">
        <v>906</v>
      </c>
      <c r="AQ341" t="s">
        <v>74</v>
      </c>
      <c r="AR341" t="s">
        <v>907</v>
      </c>
      <c r="AS341" t="s">
        <v>908</v>
      </c>
      <c r="AT341" t="s">
        <v>5382</v>
      </c>
      <c r="AU341">
        <v>2005</v>
      </c>
      <c r="AV341">
        <v>18</v>
      </c>
      <c r="AW341">
        <v>6</v>
      </c>
      <c r="AX341" t="s">
        <v>74</v>
      </c>
      <c r="AY341" t="s">
        <v>74</v>
      </c>
      <c r="AZ341" t="s">
        <v>74</v>
      </c>
      <c r="BA341" t="s">
        <v>74</v>
      </c>
      <c r="BB341">
        <v>852</v>
      </c>
      <c r="BC341">
        <v>863</v>
      </c>
      <c r="BD341" t="s">
        <v>74</v>
      </c>
      <c r="BE341" t="s">
        <v>5394</v>
      </c>
      <c r="BF341" t="str">
        <f>HYPERLINK("http://dx.doi.org/10.1175/JCLI-3296.1","http://dx.doi.org/10.1175/JCLI-3296.1")</f>
        <v>http://dx.doi.org/10.1175/JCLI-3296.1</v>
      </c>
      <c r="BG341" t="s">
        <v>74</v>
      </c>
      <c r="BH341" t="s">
        <v>74</v>
      </c>
      <c r="BI341">
        <v>12</v>
      </c>
      <c r="BJ341" t="s">
        <v>401</v>
      </c>
      <c r="BK341" t="s">
        <v>95</v>
      </c>
      <c r="BL341" t="s">
        <v>401</v>
      </c>
      <c r="BM341" t="s">
        <v>5395</v>
      </c>
      <c r="BN341" t="s">
        <v>74</v>
      </c>
      <c r="BO341" t="s">
        <v>1776</v>
      </c>
      <c r="BP341" t="s">
        <v>74</v>
      </c>
      <c r="BQ341" t="s">
        <v>74</v>
      </c>
      <c r="BR341" t="s">
        <v>97</v>
      </c>
      <c r="BS341" t="s">
        <v>5396</v>
      </c>
      <c r="BT341" t="str">
        <f>HYPERLINK("https%3A%2F%2Fwww.webofscience.com%2Fwos%2Fwoscc%2Ffull-record%2FWOS:000228012600008","View Full Record in Web of Science")</f>
        <v>View Full Record in Web of Science</v>
      </c>
    </row>
    <row r="342" spans="1:72" x14ac:dyDescent="0.15">
      <c r="A342" t="s">
        <v>72</v>
      </c>
      <c r="B342" t="s">
        <v>5397</v>
      </c>
      <c r="C342" t="s">
        <v>74</v>
      </c>
      <c r="D342" t="s">
        <v>74</v>
      </c>
      <c r="E342" t="s">
        <v>74</v>
      </c>
      <c r="F342" t="s">
        <v>5397</v>
      </c>
      <c r="G342" t="s">
        <v>74</v>
      </c>
      <c r="H342" t="s">
        <v>74</v>
      </c>
      <c r="I342" t="s">
        <v>5398</v>
      </c>
      <c r="J342" t="s">
        <v>5399</v>
      </c>
      <c r="K342" t="s">
        <v>74</v>
      </c>
      <c r="L342" t="s">
        <v>74</v>
      </c>
      <c r="M342" t="s">
        <v>77</v>
      </c>
      <c r="N342" t="s">
        <v>78</v>
      </c>
      <c r="O342" t="s">
        <v>74</v>
      </c>
      <c r="P342" t="s">
        <v>74</v>
      </c>
      <c r="Q342" t="s">
        <v>74</v>
      </c>
      <c r="R342" t="s">
        <v>74</v>
      </c>
      <c r="S342" t="s">
        <v>74</v>
      </c>
      <c r="T342" t="s">
        <v>5400</v>
      </c>
      <c r="U342" t="s">
        <v>5401</v>
      </c>
      <c r="V342" t="s">
        <v>5402</v>
      </c>
      <c r="W342" t="s">
        <v>5403</v>
      </c>
      <c r="X342" t="s">
        <v>5404</v>
      </c>
      <c r="Y342" t="s">
        <v>5405</v>
      </c>
      <c r="Z342" t="s">
        <v>5406</v>
      </c>
      <c r="AA342" t="s">
        <v>5407</v>
      </c>
      <c r="AB342" t="s">
        <v>5408</v>
      </c>
      <c r="AC342" t="s">
        <v>74</v>
      </c>
      <c r="AD342" t="s">
        <v>74</v>
      </c>
      <c r="AE342" t="s">
        <v>74</v>
      </c>
      <c r="AF342" t="s">
        <v>74</v>
      </c>
      <c r="AG342">
        <v>46</v>
      </c>
      <c r="AH342">
        <v>107</v>
      </c>
      <c r="AI342">
        <v>117</v>
      </c>
      <c r="AJ342">
        <v>2</v>
      </c>
      <c r="AK342">
        <v>12</v>
      </c>
      <c r="AL342" t="s">
        <v>2332</v>
      </c>
      <c r="AM342" t="s">
        <v>134</v>
      </c>
      <c r="AN342" t="s">
        <v>5409</v>
      </c>
      <c r="AO342" t="s">
        <v>5410</v>
      </c>
      <c r="AP342" t="s">
        <v>5411</v>
      </c>
      <c r="AQ342" t="s">
        <v>74</v>
      </c>
      <c r="AR342" t="s">
        <v>5412</v>
      </c>
      <c r="AS342" t="s">
        <v>5413</v>
      </c>
      <c r="AT342" t="s">
        <v>5382</v>
      </c>
      <c r="AU342">
        <v>2005</v>
      </c>
      <c r="AV342">
        <v>95</v>
      </c>
      <c r="AW342">
        <v>1</v>
      </c>
      <c r="AX342" t="s">
        <v>74</v>
      </c>
      <c r="AY342" t="s">
        <v>74</v>
      </c>
      <c r="AZ342" t="s">
        <v>74</v>
      </c>
      <c r="BA342" t="s">
        <v>74</v>
      </c>
      <c r="BB342">
        <v>125</v>
      </c>
      <c r="BC342">
        <v>137</v>
      </c>
      <c r="BD342" t="s">
        <v>74</v>
      </c>
      <c r="BE342" t="s">
        <v>5414</v>
      </c>
      <c r="BF342" t="str">
        <f>HYPERLINK("http://dx.doi.org/10.1016/j.rse.2004.12.006","http://dx.doi.org/10.1016/j.rse.2004.12.006")</f>
        <v>http://dx.doi.org/10.1016/j.rse.2004.12.006</v>
      </c>
      <c r="BG342" t="s">
        <v>74</v>
      </c>
      <c r="BH342" t="s">
        <v>74</v>
      </c>
      <c r="BI342">
        <v>13</v>
      </c>
      <c r="BJ342" t="s">
        <v>5415</v>
      </c>
      <c r="BK342" t="s">
        <v>95</v>
      </c>
      <c r="BL342" t="s">
        <v>5416</v>
      </c>
      <c r="BM342" t="s">
        <v>5417</v>
      </c>
      <c r="BN342" t="s">
        <v>74</v>
      </c>
      <c r="BO342" t="s">
        <v>74</v>
      </c>
      <c r="BP342" t="s">
        <v>74</v>
      </c>
      <c r="BQ342" t="s">
        <v>74</v>
      </c>
      <c r="BR342" t="s">
        <v>97</v>
      </c>
      <c r="BS342" t="s">
        <v>5418</v>
      </c>
      <c r="BT342" t="str">
        <f>HYPERLINK("https%3A%2F%2Fwww.webofscience.com%2Fwos%2Fwoscc%2Ffull-record%2FWOS:000227542200010","View Full Record in Web of Science")</f>
        <v>View Full Record in Web of Science</v>
      </c>
    </row>
    <row r="343" spans="1:72" x14ac:dyDescent="0.15">
      <c r="A343" t="s">
        <v>72</v>
      </c>
      <c r="B343" t="s">
        <v>5419</v>
      </c>
      <c r="C343" t="s">
        <v>74</v>
      </c>
      <c r="D343" t="s">
        <v>74</v>
      </c>
      <c r="E343" t="s">
        <v>74</v>
      </c>
      <c r="F343" t="s">
        <v>5419</v>
      </c>
      <c r="G343" t="s">
        <v>74</v>
      </c>
      <c r="H343" t="s">
        <v>74</v>
      </c>
      <c r="I343" t="s">
        <v>5420</v>
      </c>
      <c r="J343" t="s">
        <v>617</v>
      </c>
      <c r="K343" t="s">
        <v>74</v>
      </c>
      <c r="L343" t="s">
        <v>74</v>
      </c>
      <c r="M343" t="s">
        <v>77</v>
      </c>
      <c r="N343" t="s">
        <v>78</v>
      </c>
      <c r="O343" t="s">
        <v>74</v>
      </c>
      <c r="P343" t="s">
        <v>74</v>
      </c>
      <c r="Q343" t="s">
        <v>74</v>
      </c>
      <c r="R343" t="s">
        <v>74</v>
      </c>
      <c r="S343" t="s">
        <v>74</v>
      </c>
      <c r="T343" t="s">
        <v>74</v>
      </c>
      <c r="U343" t="s">
        <v>5421</v>
      </c>
      <c r="V343" t="s">
        <v>5422</v>
      </c>
      <c r="W343" t="s">
        <v>5423</v>
      </c>
      <c r="X343" t="s">
        <v>5424</v>
      </c>
      <c r="Y343" t="s">
        <v>5425</v>
      </c>
      <c r="Z343" t="s">
        <v>74</v>
      </c>
      <c r="AA343" t="s">
        <v>74</v>
      </c>
      <c r="AB343" t="s">
        <v>74</v>
      </c>
      <c r="AC343" t="s">
        <v>74</v>
      </c>
      <c r="AD343" t="s">
        <v>74</v>
      </c>
      <c r="AE343" t="s">
        <v>74</v>
      </c>
      <c r="AF343" t="s">
        <v>74</v>
      </c>
      <c r="AG343">
        <v>34</v>
      </c>
      <c r="AH343">
        <v>47</v>
      </c>
      <c r="AI343">
        <v>59</v>
      </c>
      <c r="AJ343">
        <v>0</v>
      </c>
      <c r="AK343">
        <v>6</v>
      </c>
      <c r="AL343" t="s">
        <v>527</v>
      </c>
      <c r="AM343" t="s">
        <v>528</v>
      </c>
      <c r="AN343" t="s">
        <v>529</v>
      </c>
      <c r="AO343" t="s">
        <v>625</v>
      </c>
      <c r="AP343" t="s">
        <v>626</v>
      </c>
      <c r="AQ343" t="s">
        <v>74</v>
      </c>
      <c r="AR343" t="s">
        <v>627</v>
      </c>
      <c r="AS343" t="s">
        <v>628</v>
      </c>
      <c r="AT343" t="s">
        <v>5426</v>
      </c>
      <c r="AU343">
        <v>2005</v>
      </c>
      <c r="AV343">
        <v>110</v>
      </c>
      <c r="AW343" t="s">
        <v>5427</v>
      </c>
      <c r="AX343" t="s">
        <v>74</v>
      </c>
      <c r="AY343" t="s">
        <v>74</v>
      </c>
      <c r="AZ343" t="s">
        <v>74</v>
      </c>
      <c r="BA343" t="s">
        <v>74</v>
      </c>
      <c r="BB343" t="s">
        <v>74</v>
      </c>
      <c r="BC343" t="s">
        <v>74</v>
      </c>
      <c r="BD343" t="s">
        <v>5428</v>
      </c>
      <c r="BE343" t="s">
        <v>5429</v>
      </c>
      <c r="BF343" t="str">
        <f>HYPERLINK("http://dx.doi.org/10.1029/2004JC002312","http://dx.doi.org/10.1029/2004JC002312")</f>
        <v>http://dx.doi.org/10.1029/2004JC002312</v>
      </c>
      <c r="BG343" t="s">
        <v>74</v>
      </c>
      <c r="BH343" t="s">
        <v>74</v>
      </c>
      <c r="BI343">
        <v>14</v>
      </c>
      <c r="BJ343" t="s">
        <v>632</v>
      </c>
      <c r="BK343" t="s">
        <v>95</v>
      </c>
      <c r="BL343" t="s">
        <v>632</v>
      </c>
      <c r="BM343" t="s">
        <v>5430</v>
      </c>
      <c r="BN343" t="s">
        <v>74</v>
      </c>
      <c r="BO343" t="s">
        <v>539</v>
      </c>
      <c r="BP343" t="s">
        <v>74</v>
      </c>
      <c r="BQ343" t="s">
        <v>74</v>
      </c>
      <c r="BR343" t="s">
        <v>97</v>
      </c>
      <c r="BS343" t="s">
        <v>5431</v>
      </c>
      <c r="BT343" t="str">
        <f>HYPERLINK("https%3A%2F%2Fwww.webofscience.com%2Fwos%2Fwoscc%2Ffull-record%2FWOS:000227642300001","View Full Record in Web of Science")</f>
        <v>View Full Record in Web of Science</v>
      </c>
    </row>
    <row r="344" spans="1:72" x14ac:dyDescent="0.15">
      <c r="A344" t="s">
        <v>72</v>
      </c>
      <c r="B344" t="s">
        <v>5432</v>
      </c>
      <c r="C344" t="s">
        <v>74</v>
      </c>
      <c r="D344" t="s">
        <v>74</v>
      </c>
      <c r="E344" t="s">
        <v>74</v>
      </c>
      <c r="F344" t="s">
        <v>5432</v>
      </c>
      <c r="G344" t="s">
        <v>74</v>
      </c>
      <c r="H344" t="s">
        <v>74</v>
      </c>
      <c r="I344" t="s">
        <v>5433</v>
      </c>
      <c r="J344" t="s">
        <v>1868</v>
      </c>
      <c r="K344" t="s">
        <v>74</v>
      </c>
      <c r="L344" t="s">
        <v>74</v>
      </c>
      <c r="M344" t="s">
        <v>77</v>
      </c>
      <c r="N344" t="s">
        <v>78</v>
      </c>
      <c r="O344" t="s">
        <v>74</v>
      </c>
      <c r="P344" t="s">
        <v>74</v>
      </c>
      <c r="Q344" t="s">
        <v>74</v>
      </c>
      <c r="R344" t="s">
        <v>74</v>
      </c>
      <c r="S344" t="s">
        <v>74</v>
      </c>
      <c r="T344" t="s">
        <v>74</v>
      </c>
      <c r="U344" t="s">
        <v>5434</v>
      </c>
      <c r="V344" t="s">
        <v>5435</v>
      </c>
      <c r="W344" t="s">
        <v>5436</v>
      </c>
      <c r="X344" t="s">
        <v>5437</v>
      </c>
      <c r="Y344" t="s">
        <v>5438</v>
      </c>
      <c r="Z344" t="s">
        <v>5439</v>
      </c>
      <c r="AA344" t="s">
        <v>5440</v>
      </c>
      <c r="AB344" t="s">
        <v>5441</v>
      </c>
      <c r="AC344" t="s">
        <v>74</v>
      </c>
      <c r="AD344" t="s">
        <v>74</v>
      </c>
      <c r="AE344" t="s">
        <v>74</v>
      </c>
      <c r="AF344" t="s">
        <v>74</v>
      </c>
      <c r="AG344">
        <v>39</v>
      </c>
      <c r="AH344">
        <v>31</v>
      </c>
      <c r="AI344">
        <v>32</v>
      </c>
      <c r="AJ344">
        <v>1</v>
      </c>
      <c r="AK344">
        <v>12</v>
      </c>
      <c r="AL344" t="s">
        <v>527</v>
      </c>
      <c r="AM344" t="s">
        <v>528</v>
      </c>
      <c r="AN344" t="s">
        <v>529</v>
      </c>
      <c r="AO344" t="s">
        <v>1877</v>
      </c>
      <c r="AP344" t="s">
        <v>1878</v>
      </c>
      <c r="AQ344" t="s">
        <v>74</v>
      </c>
      <c r="AR344" t="s">
        <v>1879</v>
      </c>
      <c r="AS344" t="s">
        <v>1880</v>
      </c>
      <c r="AT344" t="s">
        <v>5442</v>
      </c>
      <c r="AU344">
        <v>2005</v>
      </c>
      <c r="AV344">
        <v>110</v>
      </c>
      <c r="AW344" t="s">
        <v>5443</v>
      </c>
      <c r="AX344" t="s">
        <v>74</v>
      </c>
      <c r="AY344" t="s">
        <v>74</v>
      </c>
      <c r="AZ344" t="s">
        <v>74</v>
      </c>
      <c r="BA344" t="s">
        <v>74</v>
      </c>
      <c r="BB344" t="s">
        <v>74</v>
      </c>
      <c r="BC344" t="s">
        <v>74</v>
      </c>
      <c r="BD344" t="s">
        <v>5444</v>
      </c>
      <c r="BE344" t="s">
        <v>5445</v>
      </c>
      <c r="BF344" t="str">
        <f>HYPERLINK("http://dx.doi.org/10.1029/2004JD005018","http://dx.doi.org/10.1029/2004JD005018")</f>
        <v>http://dx.doi.org/10.1029/2004JD005018</v>
      </c>
      <c r="BG344" t="s">
        <v>74</v>
      </c>
      <c r="BH344" t="s">
        <v>74</v>
      </c>
      <c r="BI344">
        <v>12</v>
      </c>
      <c r="BJ344" t="s">
        <v>401</v>
      </c>
      <c r="BK344" t="s">
        <v>95</v>
      </c>
      <c r="BL344" t="s">
        <v>401</v>
      </c>
      <c r="BM344" t="s">
        <v>5446</v>
      </c>
      <c r="BN344" t="s">
        <v>74</v>
      </c>
      <c r="BO344" t="s">
        <v>613</v>
      </c>
      <c r="BP344" t="s">
        <v>74</v>
      </c>
      <c r="BQ344" t="s">
        <v>74</v>
      </c>
      <c r="BR344" t="s">
        <v>97</v>
      </c>
      <c r="BS344" t="s">
        <v>5447</v>
      </c>
      <c r="BT344" t="str">
        <f>HYPERLINK("https%3A%2F%2Fwww.webofscience.com%2Fwos%2Fwoscc%2Ffull-record%2FWOS:000227641500003","View Full Record in Web of Science")</f>
        <v>View Full Record in Web of Science</v>
      </c>
    </row>
    <row r="345" spans="1:72" x14ac:dyDescent="0.15">
      <c r="A345" t="s">
        <v>72</v>
      </c>
      <c r="B345" t="s">
        <v>5448</v>
      </c>
      <c r="C345" t="s">
        <v>74</v>
      </c>
      <c r="D345" t="s">
        <v>74</v>
      </c>
      <c r="E345" t="s">
        <v>74</v>
      </c>
      <c r="F345" t="s">
        <v>5448</v>
      </c>
      <c r="G345" t="s">
        <v>74</v>
      </c>
      <c r="H345" t="s">
        <v>74</v>
      </c>
      <c r="I345" t="s">
        <v>5449</v>
      </c>
      <c r="J345" t="s">
        <v>5450</v>
      </c>
      <c r="K345" t="s">
        <v>74</v>
      </c>
      <c r="L345" t="s">
        <v>74</v>
      </c>
      <c r="M345" t="s">
        <v>77</v>
      </c>
      <c r="N345" t="s">
        <v>78</v>
      </c>
      <c r="O345" t="s">
        <v>74</v>
      </c>
      <c r="P345" t="s">
        <v>74</v>
      </c>
      <c r="Q345" t="s">
        <v>74</v>
      </c>
      <c r="R345" t="s">
        <v>74</v>
      </c>
      <c r="S345" t="s">
        <v>74</v>
      </c>
      <c r="T345" t="s">
        <v>74</v>
      </c>
      <c r="U345" t="s">
        <v>5451</v>
      </c>
      <c r="V345" t="s">
        <v>5452</v>
      </c>
      <c r="W345" t="s">
        <v>5453</v>
      </c>
      <c r="X345" t="s">
        <v>5454</v>
      </c>
      <c r="Y345" t="s">
        <v>5455</v>
      </c>
      <c r="Z345" t="s">
        <v>74</v>
      </c>
      <c r="AA345" t="s">
        <v>5456</v>
      </c>
      <c r="AB345" t="s">
        <v>5457</v>
      </c>
      <c r="AC345" t="s">
        <v>74</v>
      </c>
      <c r="AD345" t="s">
        <v>74</v>
      </c>
      <c r="AE345" t="s">
        <v>74</v>
      </c>
      <c r="AF345" t="s">
        <v>74</v>
      </c>
      <c r="AG345">
        <v>21</v>
      </c>
      <c r="AH345">
        <v>11</v>
      </c>
      <c r="AI345">
        <v>11</v>
      </c>
      <c r="AJ345">
        <v>0</v>
      </c>
      <c r="AK345">
        <v>2</v>
      </c>
      <c r="AL345" t="s">
        <v>2503</v>
      </c>
      <c r="AM345" t="s">
        <v>1911</v>
      </c>
      <c r="AN345" t="s">
        <v>2504</v>
      </c>
      <c r="AO345" t="s">
        <v>5458</v>
      </c>
      <c r="AP345" t="s">
        <v>74</v>
      </c>
      <c r="AQ345" t="s">
        <v>74</v>
      </c>
      <c r="AR345" t="s">
        <v>5459</v>
      </c>
      <c r="AS345" t="s">
        <v>5460</v>
      </c>
      <c r="AT345" t="s">
        <v>5442</v>
      </c>
      <c r="AU345">
        <v>2005</v>
      </c>
      <c r="AV345">
        <v>38</v>
      </c>
      <c r="AW345">
        <v>10</v>
      </c>
      <c r="AX345" t="s">
        <v>74</v>
      </c>
      <c r="AY345" t="s">
        <v>74</v>
      </c>
      <c r="AZ345" t="s">
        <v>74</v>
      </c>
      <c r="BA345" t="s">
        <v>74</v>
      </c>
      <c r="BB345">
        <v>2289</v>
      </c>
      <c r="BC345">
        <v>2297</v>
      </c>
      <c r="BD345" t="s">
        <v>74</v>
      </c>
      <c r="BE345" t="s">
        <v>5461</v>
      </c>
      <c r="BF345" t="str">
        <f>HYPERLINK("http://dx.doi.org/10.1088/0305-4470/38/10/016","http://dx.doi.org/10.1088/0305-4470/38/10/016")</f>
        <v>http://dx.doi.org/10.1088/0305-4470/38/10/016</v>
      </c>
      <c r="BG345" t="s">
        <v>74</v>
      </c>
      <c r="BH345" t="s">
        <v>74</v>
      </c>
      <c r="BI345">
        <v>9</v>
      </c>
      <c r="BJ345" t="s">
        <v>5462</v>
      </c>
      <c r="BK345" t="s">
        <v>95</v>
      </c>
      <c r="BL345" t="s">
        <v>990</v>
      </c>
      <c r="BM345" t="s">
        <v>5463</v>
      </c>
      <c r="BN345" t="s">
        <v>74</v>
      </c>
      <c r="BO345" t="s">
        <v>143</v>
      </c>
      <c r="BP345" t="s">
        <v>74</v>
      </c>
      <c r="BQ345" t="s">
        <v>74</v>
      </c>
      <c r="BR345" t="s">
        <v>97</v>
      </c>
      <c r="BS345" t="s">
        <v>5464</v>
      </c>
      <c r="BT345" t="str">
        <f>HYPERLINK("https%3A%2F%2Fwww.webofscience.com%2Fwos%2Fwoscc%2Ffull-record%2FWOS:000228030900016","View Full Record in Web of Science")</f>
        <v>View Full Record in Web of Science</v>
      </c>
    </row>
    <row r="346" spans="1:72" x14ac:dyDescent="0.15">
      <c r="A346" t="s">
        <v>72</v>
      </c>
      <c r="B346" t="s">
        <v>5465</v>
      </c>
      <c r="C346" t="s">
        <v>74</v>
      </c>
      <c r="D346" t="s">
        <v>74</v>
      </c>
      <c r="E346" t="s">
        <v>74</v>
      </c>
      <c r="F346" t="s">
        <v>5465</v>
      </c>
      <c r="G346" t="s">
        <v>74</v>
      </c>
      <c r="H346" t="s">
        <v>74</v>
      </c>
      <c r="I346" t="s">
        <v>5466</v>
      </c>
      <c r="J346" t="s">
        <v>5467</v>
      </c>
      <c r="K346" t="s">
        <v>74</v>
      </c>
      <c r="L346" t="s">
        <v>74</v>
      </c>
      <c r="M346" t="s">
        <v>77</v>
      </c>
      <c r="N346" t="s">
        <v>78</v>
      </c>
      <c r="O346" t="s">
        <v>74</v>
      </c>
      <c r="P346" t="s">
        <v>74</v>
      </c>
      <c r="Q346" t="s">
        <v>74</v>
      </c>
      <c r="R346" t="s">
        <v>74</v>
      </c>
      <c r="S346" t="s">
        <v>74</v>
      </c>
      <c r="T346" t="s">
        <v>74</v>
      </c>
      <c r="U346" t="s">
        <v>5468</v>
      </c>
      <c r="V346" t="s">
        <v>5469</v>
      </c>
      <c r="W346" t="s">
        <v>5470</v>
      </c>
      <c r="X346" t="s">
        <v>5471</v>
      </c>
      <c r="Y346" t="s">
        <v>5472</v>
      </c>
      <c r="Z346" t="s">
        <v>5473</v>
      </c>
      <c r="AA346" t="s">
        <v>5474</v>
      </c>
      <c r="AB346" t="s">
        <v>5475</v>
      </c>
      <c r="AC346" t="s">
        <v>74</v>
      </c>
      <c r="AD346" t="s">
        <v>74</v>
      </c>
      <c r="AE346" t="s">
        <v>74</v>
      </c>
      <c r="AF346" t="s">
        <v>74</v>
      </c>
      <c r="AG346">
        <v>53</v>
      </c>
      <c r="AH346">
        <v>37</v>
      </c>
      <c r="AI346">
        <v>43</v>
      </c>
      <c r="AJ346">
        <v>0</v>
      </c>
      <c r="AK346">
        <v>4</v>
      </c>
      <c r="AL346" t="s">
        <v>5476</v>
      </c>
      <c r="AM346" t="s">
        <v>5477</v>
      </c>
      <c r="AN346" t="s">
        <v>5478</v>
      </c>
      <c r="AO346" t="s">
        <v>5479</v>
      </c>
      <c r="AP346" t="s">
        <v>5480</v>
      </c>
      <c r="AQ346" t="s">
        <v>74</v>
      </c>
      <c r="AR346" t="s">
        <v>5481</v>
      </c>
      <c r="AS346" t="s">
        <v>5482</v>
      </c>
      <c r="AT346" t="s">
        <v>5442</v>
      </c>
      <c r="AU346">
        <v>2005</v>
      </c>
      <c r="AV346">
        <v>25</v>
      </c>
      <c r="AW346">
        <v>1</v>
      </c>
      <c r="AX346" t="s">
        <v>74</v>
      </c>
      <c r="AY346" t="s">
        <v>74</v>
      </c>
      <c r="AZ346" t="s">
        <v>74</v>
      </c>
      <c r="BA346" t="s">
        <v>74</v>
      </c>
      <c r="BB346">
        <v>1</v>
      </c>
      <c r="BC346">
        <v>7</v>
      </c>
      <c r="BD346" t="s">
        <v>74</v>
      </c>
      <c r="BE346" t="s">
        <v>5483</v>
      </c>
      <c r="BF346" t="str">
        <f>HYPERLINK("http://dx.doi.org/10.1671/0272-4634(2005)025[0001:ATTESF]2.0.CO;2","http://dx.doi.org/10.1671/0272-4634(2005)025[0001:ATTESF]2.0.CO;2")</f>
        <v>http://dx.doi.org/10.1671/0272-4634(2005)025[0001:ATTESF]2.0.CO;2</v>
      </c>
      <c r="BG346" t="s">
        <v>74</v>
      </c>
      <c r="BH346" t="s">
        <v>74</v>
      </c>
      <c r="BI346">
        <v>7</v>
      </c>
      <c r="BJ346" t="s">
        <v>420</v>
      </c>
      <c r="BK346" t="s">
        <v>95</v>
      </c>
      <c r="BL346" t="s">
        <v>420</v>
      </c>
      <c r="BM346" t="s">
        <v>5484</v>
      </c>
      <c r="BN346" t="s">
        <v>74</v>
      </c>
      <c r="BO346" t="s">
        <v>74</v>
      </c>
      <c r="BP346" t="s">
        <v>74</v>
      </c>
      <c r="BQ346" t="s">
        <v>74</v>
      </c>
      <c r="BR346" t="s">
        <v>97</v>
      </c>
      <c r="BS346" t="s">
        <v>5485</v>
      </c>
      <c r="BT346" t="str">
        <f>HYPERLINK("https%3A%2F%2Fwww.webofscience.com%2Fwos%2Fwoscc%2Ffull-record%2FWOS:000227575000001","View Full Record in Web of Science")</f>
        <v>View Full Record in Web of Science</v>
      </c>
    </row>
    <row r="347" spans="1:72" x14ac:dyDescent="0.15">
      <c r="A347" t="s">
        <v>72</v>
      </c>
      <c r="B347" t="s">
        <v>5486</v>
      </c>
      <c r="C347" t="s">
        <v>74</v>
      </c>
      <c r="D347" t="s">
        <v>74</v>
      </c>
      <c r="E347" t="s">
        <v>74</v>
      </c>
      <c r="F347" t="s">
        <v>5486</v>
      </c>
      <c r="G347" t="s">
        <v>74</v>
      </c>
      <c r="H347" t="s">
        <v>74</v>
      </c>
      <c r="I347" t="s">
        <v>5487</v>
      </c>
      <c r="J347" t="s">
        <v>859</v>
      </c>
      <c r="K347" t="s">
        <v>74</v>
      </c>
      <c r="L347" t="s">
        <v>74</v>
      </c>
      <c r="M347" t="s">
        <v>77</v>
      </c>
      <c r="N347" t="s">
        <v>5488</v>
      </c>
      <c r="O347" t="s">
        <v>74</v>
      </c>
      <c r="P347" t="s">
        <v>74</v>
      </c>
      <c r="Q347" t="s">
        <v>74</v>
      </c>
      <c r="R347" t="s">
        <v>74</v>
      </c>
      <c r="S347" t="s">
        <v>74</v>
      </c>
      <c r="T347" t="s">
        <v>74</v>
      </c>
      <c r="U347" t="s">
        <v>74</v>
      </c>
      <c r="V347" t="s">
        <v>74</v>
      </c>
      <c r="W347" t="s">
        <v>670</v>
      </c>
      <c r="X347" t="s">
        <v>671</v>
      </c>
      <c r="Y347" t="s">
        <v>5489</v>
      </c>
      <c r="Z347" t="s">
        <v>74</v>
      </c>
      <c r="AA347" t="s">
        <v>74</v>
      </c>
      <c r="AB347" t="s">
        <v>5490</v>
      </c>
      <c r="AC347" t="s">
        <v>74</v>
      </c>
      <c r="AD347" t="s">
        <v>74</v>
      </c>
      <c r="AE347" t="s">
        <v>74</v>
      </c>
      <c r="AF347" t="s">
        <v>74</v>
      </c>
      <c r="AG347">
        <v>2</v>
      </c>
      <c r="AH347">
        <v>6</v>
      </c>
      <c r="AI347">
        <v>6</v>
      </c>
      <c r="AJ347">
        <v>0</v>
      </c>
      <c r="AK347">
        <v>6</v>
      </c>
      <c r="AL347" t="s">
        <v>863</v>
      </c>
      <c r="AM347" t="s">
        <v>739</v>
      </c>
      <c r="AN347" t="s">
        <v>864</v>
      </c>
      <c r="AO347" t="s">
        <v>865</v>
      </c>
      <c r="AP347" t="s">
        <v>74</v>
      </c>
      <c r="AQ347" t="s">
        <v>74</v>
      </c>
      <c r="AR347" t="s">
        <v>859</v>
      </c>
      <c r="AS347" t="s">
        <v>866</v>
      </c>
      <c r="AT347" t="s">
        <v>5491</v>
      </c>
      <c r="AU347">
        <v>2005</v>
      </c>
      <c r="AV347">
        <v>434</v>
      </c>
      <c r="AW347">
        <v>7030</v>
      </c>
      <c r="AX347" t="s">
        <v>74</v>
      </c>
      <c r="AY347" t="s">
        <v>74</v>
      </c>
      <c r="AZ347" t="s">
        <v>74</v>
      </c>
      <c r="BA347" t="s">
        <v>74</v>
      </c>
      <c r="BB347">
        <v>137</v>
      </c>
      <c r="BC347">
        <v>137</v>
      </c>
      <c r="BD347" t="s">
        <v>74</v>
      </c>
      <c r="BE347" t="s">
        <v>5492</v>
      </c>
      <c r="BF347" t="str">
        <f>HYPERLINK("http://dx.doi.org/10.1038/434137b","http://dx.doi.org/10.1038/434137b")</f>
        <v>http://dx.doi.org/10.1038/434137b</v>
      </c>
      <c r="BG347" t="s">
        <v>74</v>
      </c>
      <c r="BH347" t="s">
        <v>74</v>
      </c>
      <c r="BI347">
        <v>1</v>
      </c>
      <c r="BJ347" t="s">
        <v>682</v>
      </c>
      <c r="BK347" t="s">
        <v>95</v>
      </c>
      <c r="BL347" t="s">
        <v>683</v>
      </c>
      <c r="BM347" t="s">
        <v>5493</v>
      </c>
      <c r="BN347">
        <v>15758969</v>
      </c>
      <c r="BO347" t="s">
        <v>539</v>
      </c>
      <c r="BP347" t="s">
        <v>74</v>
      </c>
      <c r="BQ347" t="s">
        <v>74</v>
      </c>
      <c r="BR347" t="s">
        <v>97</v>
      </c>
      <c r="BS347" t="s">
        <v>5494</v>
      </c>
      <c r="BT347" t="str">
        <f>HYPERLINK("https%3A%2F%2Fwww.webofscience.com%2Fwos%2Fwoscc%2Ffull-record%2FWOS:000227494500016","View Full Record in Web of Science")</f>
        <v>View Full Record in Web of Science</v>
      </c>
    </row>
    <row r="348" spans="1:72" x14ac:dyDescent="0.15">
      <c r="A348" t="s">
        <v>72</v>
      </c>
      <c r="B348" t="s">
        <v>5495</v>
      </c>
      <c r="C348" t="s">
        <v>74</v>
      </c>
      <c r="D348" t="s">
        <v>74</v>
      </c>
      <c r="E348" t="s">
        <v>74</v>
      </c>
      <c r="F348" t="s">
        <v>5495</v>
      </c>
      <c r="G348" t="s">
        <v>74</v>
      </c>
      <c r="H348" t="s">
        <v>74</v>
      </c>
      <c r="I348" t="s">
        <v>5496</v>
      </c>
      <c r="J348" t="s">
        <v>927</v>
      </c>
      <c r="K348" t="s">
        <v>74</v>
      </c>
      <c r="L348" t="s">
        <v>74</v>
      </c>
      <c r="M348" t="s">
        <v>77</v>
      </c>
      <c r="N348" t="s">
        <v>78</v>
      </c>
      <c r="O348" t="s">
        <v>74</v>
      </c>
      <c r="P348" t="s">
        <v>74</v>
      </c>
      <c r="Q348" t="s">
        <v>74</v>
      </c>
      <c r="R348" t="s">
        <v>74</v>
      </c>
      <c r="S348" t="s">
        <v>74</v>
      </c>
      <c r="T348" t="s">
        <v>5497</v>
      </c>
      <c r="U348" t="s">
        <v>5498</v>
      </c>
      <c r="V348" t="s">
        <v>5499</v>
      </c>
      <c r="W348" t="s">
        <v>1374</v>
      </c>
      <c r="X348" t="s">
        <v>1375</v>
      </c>
      <c r="Y348" t="s">
        <v>4653</v>
      </c>
      <c r="Z348" t="s">
        <v>5500</v>
      </c>
      <c r="AA348" t="s">
        <v>74</v>
      </c>
      <c r="AB348" t="s">
        <v>74</v>
      </c>
      <c r="AC348" t="s">
        <v>74</v>
      </c>
      <c r="AD348" t="s">
        <v>74</v>
      </c>
      <c r="AE348" t="s">
        <v>74</v>
      </c>
      <c r="AF348" t="s">
        <v>74</v>
      </c>
      <c r="AG348">
        <v>65</v>
      </c>
      <c r="AH348">
        <v>66</v>
      </c>
      <c r="AI348">
        <v>78</v>
      </c>
      <c r="AJ348">
        <v>0</v>
      </c>
      <c r="AK348">
        <v>30</v>
      </c>
      <c r="AL348" t="s">
        <v>435</v>
      </c>
      <c r="AM348" t="s">
        <v>436</v>
      </c>
      <c r="AN348" t="s">
        <v>437</v>
      </c>
      <c r="AO348" t="s">
        <v>936</v>
      </c>
      <c r="AP348" t="s">
        <v>937</v>
      </c>
      <c r="AQ348" t="s">
        <v>74</v>
      </c>
      <c r="AR348" t="s">
        <v>938</v>
      </c>
      <c r="AS348" t="s">
        <v>939</v>
      </c>
      <c r="AT348" t="s">
        <v>5501</v>
      </c>
      <c r="AU348">
        <v>2005</v>
      </c>
      <c r="AV348">
        <v>316</v>
      </c>
      <c r="AW348">
        <v>1</v>
      </c>
      <c r="AX348" t="s">
        <v>74</v>
      </c>
      <c r="AY348" t="s">
        <v>74</v>
      </c>
      <c r="AZ348" t="s">
        <v>74</v>
      </c>
      <c r="BA348" t="s">
        <v>74</v>
      </c>
      <c r="BB348">
        <v>79</v>
      </c>
      <c r="BC348">
        <v>89</v>
      </c>
      <c r="BD348" t="s">
        <v>74</v>
      </c>
      <c r="BE348" t="s">
        <v>5502</v>
      </c>
      <c r="BF348" t="str">
        <f>HYPERLINK("http://dx.doi.org/10.1016/j.jembe.2004.10.007","http://dx.doi.org/10.1016/j.jembe.2004.10.007")</f>
        <v>http://dx.doi.org/10.1016/j.jembe.2004.10.007</v>
      </c>
      <c r="BG348" t="s">
        <v>74</v>
      </c>
      <c r="BH348" t="s">
        <v>74</v>
      </c>
      <c r="BI348">
        <v>11</v>
      </c>
      <c r="BJ348" t="s">
        <v>941</v>
      </c>
      <c r="BK348" t="s">
        <v>95</v>
      </c>
      <c r="BL348" t="s">
        <v>942</v>
      </c>
      <c r="BM348" t="s">
        <v>5503</v>
      </c>
      <c r="BN348" t="s">
        <v>74</v>
      </c>
      <c r="BO348" t="s">
        <v>74</v>
      </c>
      <c r="BP348" t="s">
        <v>74</v>
      </c>
      <c r="BQ348" t="s">
        <v>74</v>
      </c>
      <c r="BR348" t="s">
        <v>97</v>
      </c>
      <c r="BS348" t="s">
        <v>5504</v>
      </c>
      <c r="BT348" t="str">
        <f>HYPERLINK("https%3A%2F%2Fwww.webofscience.com%2Fwos%2Fwoscc%2Ffull-record%2FWOS:000227569900007","View Full Record in Web of Science")</f>
        <v>View Full Record in Web of Science</v>
      </c>
    </row>
    <row r="349" spans="1:72" x14ac:dyDescent="0.15">
      <c r="A349" t="s">
        <v>72</v>
      </c>
      <c r="B349" t="s">
        <v>5505</v>
      </c>
      <c r="C349" t="s">
        <v>74</v>
      </c>
      <c r="D349" t="s">
        <v>74</v>
      </c>
      <c r="E349" t="s">
        <v>74</v>
      </c>
      <c r="F349" t="s">
        <v>5505</v>
      </c>
      <c r="G349" t="s">
        <v>74</v>
      </c>
      <c r="H349" t="s">
        <v>74</v>
      </c>
      <c r="I349" t="s">
        <v>5506</v>
      </c>
      <c r="J349" t="s">
        <v>519</v>
      </c>
      <c r="K349" t="s">
        <v>74</v>
      </c>
      <c r="L349" t="s">
        <v>74</v>
      </c>
      <c r="M349" t="s">
        <v>77</v>
      </c>
      <c r="N349" t="s">
        <v>78</v>
      </c>
      <c r="O349" t="s">
        <v>74</v>
      </c>
      <c r="P349" t="s">
        <v>74</v>
      </c>
      <c r="Q349" t="s">
        <v>74</v>
      </c>
      <c r="R349" t="s">
        <v>74</v>
      </c>
      <c r="S349" t="s">
        <v>74</v>
      </c>
      <c r="T349" t="s">
        <v>74</v>
      </c>
      <c r="U349" t="s">
        <v>5507</v>
      </c>
      <c r="V349" t="s">
        <v>5508</v>
      </c>
      <c r="W349" t="s">
        <v>5509</v>
      </c>
      <c r="X349" t="s">
        <v>5510</v>
      </c>
      <c r="Y349" t="s">
        <v>5511</v>
      </c>
      <c r="Z349" t="s">
        <v>5512</v>
      </c>
      <c r="AA349" t="s">
        <v>5513</v>
      </c>
      <c r="AB349" t="s">
        <v>5514</v>
      </c>
      <c r="AC349" t="s">
        <v>74</v>
      </c>
      <c r="AD349" t="s">
        <v>74</v>
      </c>
      <c r="AE349" t="s">
        <v>74</v>
      </c>
      <c r="AF349" t="s">
        <v>74</v>
      </c>
      <c r="AG349">
        <v>17</v>
      </c>
      <c r="AH349">
        <v>67</v>
      </c>
      <c r="AI349">
        <v>71</v>
      </c>
      <c r="AJ349">
        <v>0</v>
      </c>
      <c r="AK349">
        <v>10</v>
      </c>
      <c r="AL349" t="s">
        <v>527</v>
      </c>
      <c r="AM349" t="s">
        <v>528</v>
      </c>
      <c r="AN349" t="s">
        <v>529</v>
      </c>
      <c r="AO349" t="s">
        <v>530</v>
      </c>
      <c r="AP349" t="s">
        <v>74</v>
      </c>
      <c r="AQ349" t="s">
        <v>74</v>
      </c>
      <c r="AR349" t="s">
        <v>532</v>
      </c>
      <c r="AS349" t="s">
        <v>533</v>
      </c>
      <c r="AT349" t="s">
        <v>5515</v>
      </c>
      <c r="AU349">
        <v>2005</v>
      </c>
      <c r="AV349">
        <v>32</v>
      </c>
      <c r="AW349">
        <v>5</v>
      </c>
      <c r="AX349" t="s">
        <v>74</v>
      </c>
      <c r="AY349" t="s">
        <v>74</v>
      </c>
      <c r="AZ349" t="s">
        <v>74</v>
      </c>
      <c r="BA349" t="s">
        <v>74</v>
      </c>
      <c r="BB349" t="s">
        <v>74</v>
      </c>
      <c r="BC349" t="s">
        <v>74</v>
      </c>
      <c r="BD349" t="s">
        <v>5516</v>
      </c>
      <c r="BE349" t="s">
        <v>5517</v>
      </c>
      <c r="BF349" t="str">
        <f>HYPERLINK("http://dx.doi.org/10.1029/2004GL021693","http://dx.doi.org/10.1029/2004GL021693")</f>
        <v>http://dx.doi.org/10.1029/2004GL021693</v>
      </c>
      <c r="BG349" t="s">
        <v>74</v>
      </c>
      <c r="BH349" t="s">
        <v>74</v>
      </c>
      <c r="BI349">
        <v>4</v>
      </c>
      <c r="BJ349" t="s">
        <v>537</v>
      </c>
      <c r="BK349" t="s">
        <v>95</v>
      </c>
      <c r="BL349" t="s">
        <v>307</v>
      </c>
      <c r="BM349" t="s">
        <v>5518</v>
      </c>
      <c r="BN349" t="s">
        <v>74</v>
      </c>
      <c r="BO349" t="s">
        <v>572</v>
      </c>
      <c r="BP349" t="s">
        <v>74</v>
      </c>
      <c r="BQ349" t="s">
        <v>74</v>
      </c>
      <c r="BR349" t="s">
        <v>97</v>
      </c>
      <c r="BS349" t="s">
        <v>5519</v>
      </c>
      <c r="BT349" t="str">
        <f>HYPERLINK("https%3A%2F%2Fwww.webofscience.com%2Fwos%2Fwoscc%2Ffull-record%2FWOS:000227640700001","View Full Record in Web of Science")</f>
        <v>View Full Record in Web of Science</v>
      </c>
    </row>
    <row r="350" spans="1:72" x14ac:dyDescent="0.15">
      <c r="A350" t="s">
        <v>72</v>
      </c>
      <c r="B350" t="s">
        <v>5520</v>
      </c>
      <c r="C350" t="s">
        <v>74</v>
      </c>
      <c r="D350" t="s">
        <v>74</v>
      </c>
      <c r="E350" t="s">
        <v>74</v>
      </c>
      <c r="F350" t="s">
        <v>5520</v>
      </c>
      <c r="G350" t="s">
        <v>74</v>
      </c>
      <c r="H350" t="s">
        <v>74</v>
      </c>
      <c r="I350" t="s">
        <v>5521</v>
      </c>
      <c r="J350" t="s">
        <v>519</v>
      </c>
      <c r="K350" t="s">
        <v>74</v>
      </c>
      <c r="L350" t="s">
        <v>74</v>
      </c>
      <c r="M350" t="s">
        <v>77</v>
      </c>
      <c r="N350" t="s">
        <v>78</v>
      </c>
      <c r="O350" t="s">
        <v>74</v>
      </c>
      <c r="P350" t="s">
        <v>74</v>
      </c>
      <c r="Q350" t="s">
        <v>74</v>
      </c>
      <c r="R350" t="s">
        <v>74</v>
      </c>
      <c r="S350" t="s">
        <v>74</v>
      </c>
      <c r="T350" t="s">
        <v>74</v>
      </c>
      <c r="U350" t="s">
        <v>74</v>
      </c>
      <c r="V350" t="s">
        <v>5522</v>
      </c>
      <c r="W350" t="s">
        <v>5523</v>
      </c>
      <c r="X350" t="s">
        <v>5524</v>
      </c>
      <c r="Y350" t="s">
        <v>5525</v>
      </c>
      <c r="Z350" t="s">
        <v>5526</v>
      </c>
      <c r="AA350" t="s">
        <v>5527</v>
      </c>
      <c r="AB350" t="s">
        <v>5528</v>
      </c>
      <c r="AC350" t="s">
        <v>74</v>
      </c>
      <c r="AD350" t="s">
        <v>74</v>
      </c>
      <c r="AE350" t="s">
        <v>74</v>
      </c>
      <c r="AF350" t="s">
        <v>74</v>
      </c>
      <c r="AG350">
        <v>11</v>
      </c>
      <c r="AH350">
        <v>44</v>
      </c>
      <c r="AI350">
        <v>46</v>
      </c>
      <c r="AJ350">
        <v>1</v>
      </c>
      <c r="AK350">
        <v>10</v>
      </c>
      <c r="AL350" t="s">
        <v>527</v>
      </c>
      <c r="AM350" t="s">
        <v>528</v>
      </c>
      <c r="AN350" t="s">
        <v>529</v>
      </c>
      <c r="AO350" t="s">
        <v>530</v>
      </c>
      <c r="AP350" t="s">
        <v>531</v>
      </c>
      <c r="AQ350" t="s">
        <v>74</v>
      </c>
      <c r="AR350" t="s">
        <v>532</v>
      </c>
      <c r="AS350" t="s">
        <v>533</v>
      </c>
      <c r="AT350" t="s">
        <v>5515</v>
      </c>
      <c r="AU350">
        <v>2005</v>
      </c>
      <c r="AV350">
        <v>32</v>
      </c>
      <c r="AW350">
        <v>5</v>
      </c>
      <c r="AX350" t="s">
        <v>74</v>
      </c>
      <c r="AY350" t="s">
        <v>74</v>
      </c>
      <c r="AZ350" t="s">
        <v>74</v>
      </c>
      <c r="BA350" t="s">
        <v>74</v>
      </c>
      <c r="BB350" t="s">
        <v>74</v>
      </c>
      <c r="BC350" t="s">
        <v>74</v>
      </c>
      <c r="BD350" t="s">
        <v>5529</v>
      </c>
      <c r="BE350" t="s">
        <v>5530</v>
      </c>
      <c r="BF350" t="str">
        <f>HYPERLINK("http://dx.doi.org/10.1029/2004GL021981","http://dx.doi.org/10.1029/2004GL021981")</f>
        <v>http://dx.doi.org/10.1029/2004GL021981</v>
      </c>
      <c r="BG350" t="s">
        <v>74</v>
      </c>
      <c r="BH350" t="s">
        <v>74</v>
      </c>
      <c r="BI350">
        <v>4</v>
      </c>
      <c r="BJ350" t="s">
        <v>537</v>
      </c>
      <c r="BK350" t="s">
        <v>95</v>
      </c>
      <c r="BL350" t="s">
        <v>307</v>
      </c>
      <c r="BM350" t="s">
        <v>5518</v>
      </c>
      <c r="BN350" t="s">
        <v>74</v>
      </c>
      <c r="BO350" t="s">
        <v>539</v>
      </c>
      <c r="BP350" t="s">
        <v>74</v>
      </c>
      <c r="BQ350" t="s">
        <v>74</v>
      </c>
      <c r="BR350" t="s">
        <v>97</v>
      </c>
      <c r="BS350" t="s">
        <v>5531</v>
      </c>
      <c r="BT350" t="str">
        <f>HYPERLINK("https%3A%2F%2Fwww.webofscience.com%2Fwos%2Fwoscc%2Ffull-record%2FWOS:000227640700005","View Full Record in Web of Science")</f>
        <v>View Full Record in Web of Science</v>
      </c>
    </row>
    <row r="351" spans="1:72" x14ac:dyDescent="0.15">
      <c r="A351" t="s">
        <v>72</v>
      </c>
      <c r="B351" t="s">
        <v>5532</v>
      </c>
      <c r="C351" t="s">
        <v>74</v>
      </c>
      <c r="D351" t="s">
        <v>74</v>
      </c>
      <c r="E351" t="s">
        <v>74</v>
      </c>
      <c r="F351" t="s">
        <v>5532</v>
      </c>
      <c r="G351" t="s">
        <v>74</v>
      </c>
      <c r="H351" t="s">
        <v>74</v>
      </c>
      <c r="I351" t="s">
        <v>5533</v>
      </c>
      <c r="J351" t="s">
        <v>519</v>
      </c>
      <c r="K351" t="s">
        <v>74</v>
      </c>
      <c r="L351" t="s">
        <v>74</v>
      </c>
      <c r="M351" t="s">
        <v>77</v>
      </c>
      <c r="N351" t="s">
        <v>78</v>
      </c>
      <c r="O351" t="s">
        <v>74</v>
      </c>
      <c r="P351" t="s">
        <v>74</v>
      </c>
      <c r="Q351" t="s">
        <v>74</v>
      </c>
      <c r="R351" t="s">
        <v>74</v>
      </c>
      <c r="S351" t="s">
        <v>74</v>
      </c>
      <c r="T351" t="s">
        <v>74</v>
      </c>
      <c r="U351" t="s">
        <v>5534</v>
      </c>
      <c r="V351" t="s">
        <v>5535</v>
      </c>
      <c r="W351" t="s">
        <v>5536</v>
      </c>
      <c r="X351" t="s">
        <v>5537</v>
      </c>
      <c r="Y351" t="s">
        <v>5538</v>
      </c>
      <c r="Z351" t="s">
        <v>5539</v>
      </c>
      <c r="AA351" t="s">
        <v>74</v>
      </c>
      <c r="AB351" t="s">
        <v>2523</v>
      </c>
      <c r="AC351" t="s">
        <v>74</v>
      </c>
      <c r="AD351" t="s">
        <v>74</v>
      </c>
      <c r="AE351" t="s">
        <v>74</v>
      </c>
      <c r="AF351" t="s">
        <v>74</v>
      </c>
      <c r="AG351">
        <v>24</v>
      </c>
      <c r="AH351">
        <v>13</v>
      </c>
      <c r="AI351">
        <v>14</v>
      </c>
      <c r="AJ351">
        <v>1</v>
      </c>
      <c r="AK351">
        <v>10</v>
      </c>
      <c r="AL351" t="s">
        <v>527</v>
      </c>
      <c r="AM351" t="s">
        <v>528</v>
      </c>
      <c r="AN351" t="s">
        <v>529</v>
      </c>
      <c r="AO351" t="s">
        <v>530</v>
      </c>
      <c r="AP351" t="s">
        <v>531</v>
      </c>
      <c r="AQ351" t="s">
        <v>74</v>
      </c>
      <c r="AR351" t="s">
        <v>532</v>
      </c>
      <c r="AS351" t="s">
        <v>533</v>
      </c>
      <c r="AT351" t="s">
        <v>5540</v>
      </c>
      <c r="AU351">
        <v>2005</v>
      </c>
      <c r="AV351">
        <v>32</v>
      </c>
      <c r="AW351">
        <v>5</v>
      </c>
      <c r="AX351" t="s">
        <v>74</v>
      </c>
      <c r="AY351" t="s">
        <v>74</v>
      </c>
      <c r="AZ351" t="s">
        <v>74</v>
      </c>
      <c r="BA351" t="s">
        <v>74</v>
      </c>
      <c r="BB351" t="s">
        <v>74</v>
      </c>
      <c r="BC351" t="s">
        <v>74</v>
      </c>
      <c r="BD351" t="s">
        <v>5541</v>
      </c>
      <c r="BE351" t="s">
        <v>5542</v>
      </c>
      <c r="BF351" t="str">
        <f>HYPERLINK("http://dx.doi.org/10.1029/2004GL021394","http://dx.doi.org/10.1029/2004GL021394")</f>
        <v>http://dx.doi.org/10.1029/2004GL021394</v>
      </c>
      <c r="BG351" t="s">
        <v>74</v>
      </c>
      <c r="BH351" t="s">
        <v>74</v>
      </c>
      <c r="BI351">
        <v>4</v>
      </c>
      <c r="BJ351" t="s">
        <v>537</v>
      </c>
      <c r="BK351" t="s">
        <v>95</v>
      </c>
      <c r="BL351" t="s">
        <v>307</v>
      </c>
      <c r="BM351" t="s">
        <v>5543</v>
      </c>
      <c r="BN351" t="s">
        <v>74</v>
      </c>
      <c r="BO351" t="s">
        <v>539</v>
      </c>
      <c r="BP351" t="s">
        <v>74</v>
      </c>
      <c r="BQ351" t="s">
        <v>74</v>
      </c>
      <c r="BR351" t="s">
        <v>97</v>
      </c>
      <c r="BS351" t="s">
        <v>5544</v>
      </c>
      <c r="BT351" t="str">
        <f>HYPERLINK("https%3A%2F%2Fwww.webofscience.com%2Fwos%2Fwoscc%2Ffull-record%2FWOS:000227549300001","View Full Record in Web of Science")</f>
        <v>View Full Record in Web of Science</v>
      </c>
    </row>
    <row r="352" spans="1:72" x14ac:dyDescent="0.15">
      <c r="A352" t="s">
        <v>72</v>
      </c>
      <c r="B352" t="s">
        <v>5545</v>
      </c>
      <c r="C352" t="s">
        <v>74</v>
      </c>
      <c r="D352" t="s">
        <v>74</v>
      </c>
      <c r="E352" t="s">
        <v>74</v>
      </c>
      <c r="F352" t="s">
        <v>5545</v>
      </c>
      <c r="G352" t="s">
        <v>74</v>
      </c>
      <c r="H352" t="s">
        <v>74</v>
      </c>
      <c r="I352" t="s">
        <v>5546</v>
      </c>
      <c r="J352" t="s">
        <v>5547</v>
      </c>
      <c r="K352" t="s">
        <v>74</v>
      </c>
      <c r="L352" t="s">
        <v>74</v>
      </c>
      <c r="M352" t="s">
        <v>77</v>
      </c>
      <c r="N352" t="s">
        <v>52</v>
      </c>
      <c r="O352" t="s">
        <v>5548</v>
      </c>
      <c r="P352" t="s">
        <v>5549</v>
      </c>
      <c r="Q352" t="s">
        <v>1437</v>
      </c>
      <c r="R352" t="s">
        <v>74</v>
      </c>
      <c r="S352" t="s">
        <v>74</v>
      </c>
      <c r="T352" t="s">
        <v>74</v>
      </c>
      <c r="U352" t="s">
        <v>74</v>
      </c>
      <c r="V352" t="s">
        <v>74</v>
      </c>
      <c r="W352" t="s">
        <v>5550</v>
      </c>
      <c r="X352" t="s">
        <v>5551</v>
      </c>
      <c r="Y352" t="s">
        <v>74</v>
      </c>
      <c r="Z352" t="s">
        <v>74</v>
      </c>
      <c r="AA352" t="s">
        <v>74</v>
      </c>
      <c r="AB352" t="s">
        <v>74</v>
      </c>
      <c r="AC352" t="s">
        <v>74</v>
      </c>
      <c r="AD352" t="s">
        <v>74</v>
      </c>
      <c r="AE352" t="s">
        <v>74</v>
      </c>
      <c r="AF352" t="s">
        <v>74</v>
      </c>
      <c r="AG352">
        <v>0</v>
      </c>
      <c r="AH352">
        <v>0</v>
      </c>
      <c r="AI352">
        <v>0</v>
      </c>
      <c r="AJ352">
        <v>0</v>
      </c>
      <c r="AK352">
        <v>0</v>
      </c>
      <c r="AL352" t="s">
        <v>5552</v>
      </c>
      <c r="AM352" t="s">
        <v>2857</v>
      </c>
      <c r="AN352" t="s">
        <v>5553</v>
      </c>
      <c r="AO352" t="s">
        <v>5554</v>
      </c>
      <c r="AP352" t="s">
        <v>74</v>
      </c>
      <c r="AQ352" t="s">
        <v>74</v>
      </c>
      <c r="AR352" t="s">
        <v>5555</v>
      </c>
      <c r="AS352" t="s">
        <v>5556</v>
      </c>
      <c r="AT352" t="s">
        <v>5557</v>
      </c>
      <c r="AU352">
        <v>2005</v>
      </c>
      <c r="AV352">
        <v>19</v>
      </c>
      <c r="AW352">
        <v>4</v>
      </c>
      <c r="AX352">
        <v>1</v>
      </c>
      <c r="AY352" t="s">
        <v>1269</v>
      </c>
      <c r="AZ352" t="s">
        <v>74</v>
      </c>
      <c r="BA352" t="s">
        <v>74</v>
      </c>
      <c r="BB352" t="s">
        <v>5558</v>
      </c>
      <c r="BC352" t="s">
        <v>5558</v>
      </c>
      <c r="BD352" t="s">
        <v>74</v>
      </c>
      <c r="BE352" t="s">
        <v>74</v>
      </c>
      <c r="BF352" t="s">
        <v>74</v>
      </c>
      <c r="BG352" t="s">
        <v>74</v>
      </c>
      <c r="BH352" t="s">
        <v>74</v>
      </c>
      <c r="BI352">
        <v>1</v>
      </c>
      <c r="BJ352" t="s">
        <v>5559</v>
      </c>
      <c r="BK352" t="s">
        <v>989</v>
      </c>
      <c r="BL352" t="s">
        <v>5560</v>
      </c>
      <c r="BM352" t="s">
        <v>5561</v>
      </c>
      <c r="BN352" t="s">
        <v>74</v>
      </c>
      <c r="BO352" t="s">
        <v>74</v>
      </c>
      <c r="BP352" t="s">
        <v>74</v>
      </c>
      <c r="BQ352" t="s">
        <v>74</v>
      </c>
      <c r="BR352" t="s">
        <v>97</v>
      </c>
      <c r="BS352" t="s">
        <v>5562</v>
      </c>
      <c r="BT352" t="str">
        <f>HYPERLINK("https%3A%2F%2Fwww.webofscience.com%2Fwos%2Fwoscc%2Ffull-record%2FWOS:000227610704570","View Full Record in Web of Science")</f>
        <v>View Full Record in Web of Science</v>
      </c>
    </row>
    <row r="353" spans="1:72" x14ac:dyDescent="0.15">
      <c r="A353" t="s">
        <v>72</v>
      </c>
      <c r="B353" t="s">
        <v>5563</v>
      </c>
      <c r="C353" t="s">
        <v>74</v>
      </c>
      <c r="D353" t="s">
        <v>74</v>
      </c>
      <c r="E353" t="s">
        <v>74</v>
      </c>
      <c r="F353" t="s">
        <v>5563</v>
      </c>
      <c r="G353" t="s">
        <v>74</v>
      </c>
      <c r="H353" t="s">
        <v>74</v>
      </c>
      <c r="I353" t="s">
        <v>5564</v>
      </c>
      <c r="J353" t="s">
        <v>5547</v>
      </c>
      <c r="K353" t="s">
        <v>74</v>
      </c>
      <c r="L353" t="s">
        <v>74</v>
      </c>
      <c r="M353" t="s">
        <v>77</v>
      </c>
      <c r="N353" t="s">
        <v>52</v>
      </c>
      <c r="O353" t="s">
        <v>5548</v>
      </c>
      <c r="P353" t="s">
        <v>5549</v>
      </c>
      <c r="Q353" t="s">
        <v>1437</v>
      </c>
      <c r="R353" t="s">
        <v>74</v>
      </c>
      <c r="S353" t="s">
        <v>74</v>
      </c>
      <c r="T353" t="s">
        <v>74</v>
      </c>
      <c r="U353" t="s">
        <v>74</v>
      </c>
      <c r="V353" t="s">
        <v>74</v>
      </c>
      <c r="W353" t="s">
        <v>5565</v>
      </c>
      <c r="X353" t="s">
        <v>5551</v>
      </c>
      <c r="Y353" t="s">
        <v>74</v>
      </c>
      <c r="Z353" t="s">
        <v>74</v>
      </c>
      <c r="AA353" t="s">
        <v>74</v>
      </c>
      <c r="AB353" t="s">
        <v>74</v>
      </c>
      <c r="AC353" t="s">
        <v>74</v>
      </c>
      <c r="AD353" t="s">
        <v>74</v>
      </c>
      <c r="AE353" t="s">
        <v>74</v>
      </c>
      <c r="AF353" t="s">
        <v>74</v>
      </c>
      <c r="AG353">
        <v>0</v>
      </c>
      <c r="AH353">
        <v>0</v>
      </c>
      <c r="AI353">
        <v>0</v>
      </c>
      <c r="AJ353">
        <v>0</v>
      </c>
      <c r="AK353">
        <v>1</v>
      </c>
      <c r="AL353" t="s">
        <v>5552</v>
      </c>
      <c r="AM353" t="s">
        <v>2857</v>
      </c>
      <c r="AN353" t="s">
        <v>5553</v>
      </c>
      <c r="AO353" t="s">
        <v>5554</v>
      </c>
      <c r="AP353" t="s">
        <v>74</v>
      </c>
      <c r="AQ353" t="s">
        <v>74</v>
      </c>
      <c r="AR353" t="s">
        <v>5555</v>
      </c>
      <c r="AS353" t="s">
        <v>5556</v>
      </c>
      <c r="AT353" t="s">
        <v>5557</v>
      </c>
      <c r="AU353">
        <v>2005</v>
      </c>
      <c r="AV353">
        <v>19</v>
      </c>
      <c r="AW353">
        <v>4</v>
      </c>
      <c r="AX353">
        <v>1</v>
      </c>
      <c r="AY353" t="s">
        <v>1269</v>
      </c>
      <c r="AZ353" t="s">
        <v>74</v>
      </c>
      <c r="BA353" t="s">
        <v>74</v>
      </c>
      <c r="BB353" t="s">
        <v>5566</v>
      </c>
      <c r="BC353" t="s">
        <v>5566</v>
      </c>
      <c r="BD353" t="s">
        <v>74</v>
      </c>
      <c r="BE353" t="s">
        <v>74</v>
      </c>
      <c r="BF353" t="s">
        <v>74</v>
      </c>
      <c r="BG353" t="s">
        <v>74</v>
      </c>
      <c r="BH353" t="s">
        <v>74</v>
      </c>
      <c r="BI353">
        <v>1</v>
      </c>
      <c r="BJ353" t="s">
        <v>5559</v>
      </c>
      <c r="BK353" t="s">
        <v>989</v>
      </c>
      <c r="BL353" t="s">
        <v>5560</v>
      </c>
      <c r="BM353" t="s">
        <v>5561</v>
      </c>
      <c r="BN353" t="s">
        <v>74</v>
      </c>
      <c r="BO353" t="s">
        <v>74</v>
      </c>
      <c r="BP353" t="s">
        <v>74</v>
      </c>
      <c r="BQ353" t="s">
        <v>74</v>
      </c>
      <c r="BR353" t="s">
        <v>97</v>
      </c>
      <c r="BS353" t="s">
        <v>5567</v>
      </c>
      <c r="BT353" t="str">
        <f>HYPERLINK("https%3A%2F%2Fwww.webofscience.com%2Fwos%2Fwoscc%2Ffull-record%2FWOS:000227610701338","View Full Record in Web of Science")</f>
        <v>View Full Record in Web of Science</v>
      </c>
    </row>
    <row r="354" spans="1:72" x14ac:dyDescent="0.15">
      <c r="A354" t="s">
        <v>72</v>
      </c>
      <c r="B354" t="s">
        <v>5568</v>
      </c>
      <c r="C354" t="s">
        <v>74</v>
      </c>
      <c r="D354" t="s">
        <v>74</v>
      </c>
      <c r="E354" t="s">
        <v>74</v>
      </c>
      <c r="F354" t="s">
        <v>5568</v>
      </c>
      <c r="G354" t="s">
        <v>74</v>
      </c>
      <c r="H354" t="s">
        <v>74</v>
      </c>
      <c r="I354" t="s">
        <v>5569</v>
      </c>
      <c r="J354" t="s">
        <v>5547</v>
      </c>
      <c r="K354" t="s">
        <v>74</v>
      </c>
      <c r="L354" t="s">
        <v>74</v>
      </c>
      <c r="M354" t="s">
        <v>77</v>
      </c>
      <c r="N354" t="s">
        <v>52</v>
      </c>
      <c r="O354" t="s">
        <v>5548</v>
      </c>
      <c r="P354" t="s">
        <v>5549</v>
      </c>
      <c r="Q354" t="s">
        <v>1437</v>
      </c>
      <c r="R354" t="s">
        <v>74</v>
      </c>
      <c r="S354" t="s">
        <v>74</v>
      </c>
      <c r="T354" t="s">
        <v>74</v>
      </c>
      <c r="U354" t="s">
        <v>74</v>
      </c>
      <c r="V354" t="s">
        <v>74</v>
      </c>
      <c r="W354" t="s">
        <v>5550</v>
      </c>
      <c r="X354" t="s">
        <v>5551</v>
      </c>
      <c r="Y354" t="s">
        <v>74</v>
      </c>
      <c r="Z354" t="s">
        <v>74</v>
      </c>
      <c r="AA354" t="s">
        <v>74</v>
      </c>
      <c r="AB354" t="s">
        <v>74</v>
      </c>
      <c r="AC354" t="s">
        <v>74</v>
      </c>
      <c r="AD354" t="s">
        <v>74</v>
      </c>
      <c r="AE354" t="s">
        <v>74</v>
      </c>
      <c r="AF354" t="s">
        <v>74</v>
      </c>
      <c r="AG354">
        <v>0</v>
      </c>
      <c r="AH354">
        <v>0</v>
      </c>
      <c r="AI354">
        <v>0</v>
      </c>
      <c r="AJ354">
        <v>0</v>
      </c>
      <c r="AK354">
        <v>1</v>
      </c>
      <c r="AL354" t="s">
        <v>5552</v>
      </c>
      <c r="AM354" t="s">
        <v>2857</v>
      </c>
      <c r="AN354" t="s">
        <v>5553</v>
      </c>
      <c r="AO354" t="s">
        <v>5554</v>
      </c>
      <c r="AP354" t="s">
        <v>74</v>
      </c>
      <c r="AQ354" t="s">
        <v>74</v>
      </c>
      <c r="AR354" t="s">
        <v>5555</v>
      </c>
      <c r="AS354" t="s">
        <v>5556</v>
      </c>
      <c r="AT354" t="s">
        <v>5557</v>
      </c>
      <c r="AU354">
        <v>2005</v>
      </c>
      <c r="AV354">
        <v>19</v>
      </c>
      <c r="AW354">
        <v>4</v>
      </c>
      <c r="AX354">
        <v>1</v>
      </c>
      <c r="AY354" t="s">
        <v>1269</v>
      </c>
      <c r="AZ354" t="s">
        <v>74</v>
      </c>
      <c r="BA354" t="s">
        <v>74</v>
      </c>
      <c r="BB354" t="s">
        <v>5570</v>
      </c>
      <c r="BC354" t="s">
        <v>5570</v>
      </c>
      <c r="BD354" t="s">
        <v>74</v>
      </c>
      <c r="BE354" t="s">
        <v>74</v>
      </c>
      <c r="BF354" t="s">
        <v>74</v>
      </c>
      <c r="BG354" t="s">
        <v>74</v>
      </c>
      <c r="BH354" t="s">
        <v>74</v>
      </c>
      <c r="BI354">
        <v>1</v>
      </c>
      <c r="BJ354" t="s">
        <v>5559</v>
      </c>
      <c r="BK354" t="s">
        <v>989</v>
      </c>
      <c r="BL354" t="s">
        <v>5560</v>
      </c>
      <c r="BM354" t="s">
        <v>5561</v>
      </c>
      <c r="BN354" t="s">
        <v>74</v>
      </c>
      <c r="BO354" t="s">
        <v>74</v>
      </c>
      <c r="BP354" t="s">
        <v>74</v>
      </c>
      <c r="BQ354" t="s">
        <v>74</v>
      </c>
      <c r="BR354" t="s">
        <v>97</v>
      </c>
      <c r="BS354" t="s">
        <v>5571</v>
      </c>
      <c r="BT354" t="str">
        <f>HYPERLINK("https%3A%2F%2Fwww.webofscience.com%2Fwos%2Fwoscc%2Ffull-record%2FWOS:000227610701331","View Full Record in Web of Science")</f>
        <v>View Full Record in Web of Science</v>
      </c>
    </row>
    <row r="355" spans="1:72" x14ac:dyDescent="0.15">
      <c r="A355" t="s">
        <v>72</v>
      </c>
      <c r="B355" t="s">
        <v>1369</v>
      </c>
      <c r="C355" t="s">
        <v>74</v>
      </c>
      <c r="D355" t="s">
        <v>74</v>
      </c>
      <c r="E355" t="s">
        <v>74</v>
      </c>
      <c r="F355" t="s">
        <v>1369</v>
      </c>
      <c r="G355" t="s">
        <v>74</v>
      </c>
      <c r="H355" t="s">
        <v>74</v>
      </c>
      <c r="I355" t="s">
        <v>5572</v>
      </c>
      <c r="J355" t="s">
        <v>5547</v>
      </c>
      <c r="K355" t="s">
        <v>74</v>
      </c>
      <c r="L355" t="s">
        <v>74</v>
      </c>
      <c r="M355" t="s">
        <v>77</v>
      </c>
      <c r="N355" t="s">
        <v>52</v>
      </c>
      <c r="O355" t="s">
        <v>5548</v>
      </c>
      <c r="P355" t="s">
        <v>5549</v>
      </c>
      <c r="Q355" t="s">
        <v>1437</v>
      </c>
      <c r="R355" t="s">
        <v>74</v>
      </c>
      <c r="S355" t="s">
        <v>74</v>
      </c>
      <c r="T355" t="s">
        <v>74</v>
      </c>
      <c r="U355" t="s">
        <v>74</v>
      </c>
      <c r="V355" t="s">
        <v>74</v>
      </c>
      <c r="W355" t="s">
        <v>5573</v>
      </c>
      <c r="X355" t="s">
        <v>4652</v>
      </c>
      <c r="Y355" t="s">
        <v>74</v>
      </c>
      <c r="Z355" t="s">
        <v>74</v>
      </c>
      <c r="AA355" t="s">
        <v>74</v>
      </c>
      <c r="AB355" t="s">
        <v>74</v>
      </c>
      <c r="AC355" t="s">
        <v>74</v>
      </c>
      <c r="AD355" t="s">
        <v>74</v>
      </c>
      <c r="AE355" t="s">
        <v>74</v>
      </c>
      <c r="AF355" t="s">
        <v>74</v>
      </c>
      <c r="AG355">
        <v>0</v>
      </c>
      <c r="AH355">
        <v>6</v>
      </c>
      <c r="AI355">
        <v>6</v>
      </c>
      <c r="AJ355">
        <v>0</v>
      </c>
      <c r="AK355">
        <v>2</v>
      </c>
      <c r="AL355" t="s">
        <v>5552</v>
      </c>
      <c r="AM355" t="s">
        <v>2857</v>
      </c>
      <c r="AN355" t="s">
        <v>5553</v>
      </c>
      <c r="AO355" t="s">
        <v>5554</v>
      </c>
      <c r="AP355" t="s">
        <v>74</v>
      </c>
      <c r="AQ355" t="s">
        <v>74</v>
      </c>
      <c r="AR355" t="s">
        <v>5555</v>
      </c>
      <c r="AS355" t="s">
        <v>5556</v>
      </c>
      <c r="AT355" t="s">
        <v>5557</v>
      </c>
      <c r="AU355">
        <v>2005</v>
      </c>
      <c r="AV355">
        <v>19</v>
      </c>
      <c r="AW355">
        <v>4</v>
      </c>
      <c r="AX355">
        <v>1</v>
      </c>
      <c r="AY355" t="s">
        <v>1269</v>
      </c>
      <c r="AZ355" t="s">
        <v>74</v>
      </c>
      <c r="BA355" t="s">
        <v>74</v>
      </c>
      <c r="BB355" t="s">
        <v>5574</v>
      </c>
      <c r="BC355" t="s">
        <v>5574</v>
      </c>
      <c r="BD355" t="s">
        <v>74</v>
      </c>
      <c r="BE355" t="s">
        <v>74</v>
      </c>
      <c r="BF355" t="s">
        <v>74</v>
      </c>
      <c r="BG355" t="s">
        <v>74</v>
      </c>
      <c r="BH355" t="s">
        <v>74</v>
      </c>
      <c r="BI355">
        <v>1</v>
      </c>
      <c r="BJ355" t="s">
        <v>5559</v>
      </c>
      <c r="BK355" t="s">
        <v>989</v>
      </c>
      <c r="BL355" t="s">
        <v>5560</v>
      </c>
      <c r="BM355" t="s">
        <v>5561</v>
      </c>
      <c r="BN355" t="s">
        <v>74</v>
      </c>
      <c r="BO355" t="s">
        <v>74</v>
      </c>
      <c r="BP355" t="s">
        <v>74</v>
      </c>
      <c r="BQ355" t="s">
        <v>74</v>
      </c>
      <c r="BR355" t="s">
        <v>97</v>
      </c>
      <c r="BS355" t="s">
        <v>5575</v>
      </c>
      <c r="BT355" t="str">
        <f>HYPERLINK("https%3A%2F%2Fwww.webofscience.com%2Fwos%2Fwoscc%2Ffull-record%2FWOS:000227610701348","View Full Record in Web of Science")</f>
        <v>View Full Record in Web of Science</v>
      </c>
    </row>
    <row r="356" spans="1:72" x14ac:dyDescent="0.15">
      <c r="A356" t="s">
        <v>72</v>
      </c>
      <c r="B356" t="s">
        <v>5576</v>
      </c>
      <c r="C356" t="s">
        <v>74</v>
      </c>
      <c r="D356" t="s">
        <v>74</v>
      </c>
      <c r="E356" t="s">
        <v>74</v>
      </c>
      <c r="F356" t="s">
        <v>5576</v>
      </c>
      <c r="G356" t="s">
        <v>74</v>
      </c>
      <c r="H356" t="s">
        <v>74</v>
      </c>
      <c r="I356" t="s">
        <v>5577</v>
      </c>
      <c r="J356" t="s">
        <v>5578</v>
      </c>
      <c r="K356" t="s">
        <v>74</v>
      </c>
      <c r="L356" t="s">
        <v>74</v>
      </c>
      <c r="M356" t="s">
        <v>77</v>
      </c>
      <c r="N356" t="s">
        <v>78</v>
      </c>
      <c r="O356" t="s">
        <v>74</v>
      </c>
      <c r="P356" t="s">
        <v>74</v>
      </c>
      <c r="Q356" t="s">
        <v>74</v>
      </c>
      <c r="R356" t="s">
        <v>74</v>
      </c>
      <c r="S356" t="s">
        <v>74</v>
      </c>
      <c r="T356" t="s">
        <v>5579</v>
      </c>
      <c r="U356" t="s">
        <v>5580</v>
      </c>
      <c r="V356" t="s">
        <v>5581</v>
      </c>
      <c r="W356" t="s">
        <v>5582</v>
      </c>
      <c r="X356" t="s">
        <v>5583</v>
      </c>
      <c r="Y356" t="s">
        <v>5584</v>
      </c>
      <c r="Z356" t="s">
        <v>5585</v>
      </c>
      <c r="AA356" t="s">
        <v>5586</v>
      </c>
      <c r="AB356" t="s">
        <v>74</v>
      </c>
      <c r="AC356" t="s">
        <v>74</v>
      </c>
      <c r="AD356" t="s">
        <v>74</v>
      </c>
      <c r="AE356" t="s">
        <v>74</v>
      </c>
      <c r="AF356" t="s">
        <v>74</v>
      </c>
      <c r="AG356">
        <v>11</v>
      </c>
      <c r="AH356">
        <v>10</v>
      </c>
      <c r="AI356">
        <v>10</v>
      </c>
      <c r="AJ356">
        <v>0</v>
      </c>
      <c r="AK356">
        <v>8</v>
      </c>
      <c r="AL356" t="s">
        <v>5587</v>
      </c>
      <c r="AM356" t="s">
        <v>5588</v>
      </c>
      <c r="AN356" t="s">
        <v>5589</v>
      </c>
      <c r="AO356" t="s">
        <v>5590</v>
      </c>
      <c r="AP356" t="s">
        <v>74</v>
      </c>
      <c r="AQ356" t="s">
        <v>74</v>
      </c>
      <c r="AR356" t="s">
        <v>5578</v>
      </c>
      <c r="AS356" t="s">
        <v>5591</v>
      </c>
      <c r="AT356" t="s">
        <v>5557</v>
      </c>
      <c r="AU356">
        <v>2005</v>
      </c>
      <c r="AV356" t="s">
        <v>74</v>
      </c>
      <c r="AW356">
        <v>4</v>
      </c>
      <c r="AX356" t="s">
        <v>74</v>
      </c>
      <c r="AY356" t="s">
        <v>74</v>
      </c>
      <c r="AZ356" t="s">
        <v>74</v>
      </c>
      <c r="BA356" t="s">
        <v>74</v>
      </c>
      <c r="BB356">
        <v>635</v>
      </c>
      <c r="BC356">
        <v>636</v>
      </c>
      <c r="BD356" t="s">
        <v>74</v>
      </c>
      <c r="BE356" t="s">
        <v>5592</v>
      </c>
      <c r="BF356" t="str">
        <f>HYPERLINK("http://dx.doi.org/10.1002/chin.200532193","http://dx.doi.org/10.1002/chin.200532193")</f>
        <v>http://dx.doi.org/10.1002/chin.200532193</v>
      </c>
      <c r="BG356" t="s">
        <v>74</v>
      </c>
      <c r="BH356" t="s">
        <v>74</v>
      </c>
      <c r="BI356">
        <v>2</v>
      </c>
      <c r="BJ356" t="s">
        <v>5593</v>
      </c>
      <c r="BK356" t="s">
        <v>5594</v>
      </c>
      <c r="BL356" t="s">
        <v>4061</v>
      </c>
      <c r="BM356" t="s">
        <v>5595</v>
      </c>
      <c r="BN356" t="s">
        <v>74</v>
      </c>
      <c r="BO356" t="s">
        <v>74</v>
      </c>
      <c r="BP356" t="s">
        <v>74</v>
      </c>
      <c r="BQ356" t="s">
        <v>74</v>
      </c>
      <c r="BR356" t="s">
        <v>97</v>
      </c>
      <c r="BS356" t="s">
        <v>5596</v>
      </c>
      <c r="BT356" t="str">
        <f>HYPERLINK("https%3A%2F%2Fwww.webofscience.com%2Fwos%2Fwoscc%2Ffull-record%2FWOS:000227583700018","View Full Record in Web of Science")</f>
        <v>View Full Record in Web of Science</v>
      </c>
    </row>
    <row r="357" spans="1:72" x14ac:dyDescent="0.15">
      <c r="A357" t="s">
        <v>72</v>
      </c>
      <c r="B357" t="s">
        <v>5597</v>
      </c>
      <c r="C357" t="s">
        <v>74</v>
      </c>
      <c r="D357" t="s">
        <v>74</v>
      </c>
      <c r="E357" t="s">
        <v>74</v>
      </c>
      <c r="F357" t="s">
        <v>5597</v>
      </c>
      <c r="G357" t="s">
        <v>74</v>
      </c>
      <c r="H357" t="s">
        <v>74</v>
      </c>
      <c r="I357" t="s">
        <v>5598</v>
      </c>
      <c r="J357" t="s">
        <v>2384</v>
      </c>
      <c r="K357" t="s">
        <v>74</v>
      </c>
      <c r="L357" t="s">
        <v>74</v>
      </c>
      <c r="M357" t="s">
        <v>77</v>
      </c>
      <c r="N357" t="s">
        <v>78</v>
      </c>
      <c r="O357" t="s">
        <v>74</v>
      </c>
      <c r="P357" t="s">
        <v>74</v>
      </c>
      <c r="Q357" t="s">
        <v>74</v>
      </c>
      <c r="R357" t="s">
        <v>74</v>
      </c>
      <c r="S357" t="s">
        <v>74</v>
      </c>
      <c r="T357" t="s">
        <v>5599</v>
      </c>
      <c r="U357" t="s">
        <v>5600</v>
      </c>
      <c r="V357" t="s">
        <v>5601</v>
      </c>
      <c r="W357" t="s">
        <v>5602</v>
      </c>
      <c r="X357" t="s">
        <v>5603</v>
      </c>
      <c r="Y357" t="s">
        <v>5604</v>
      </c>
      <c r="Z357" t="s">
        <v>2391</v>
      </c>
      <c r="AA357" t="s">
        <v>5605</v>
      </c>
      <c r="AB357" t="s">
        <v>74</v>
      </c>
      <c r="AC357" t="s">
        <v>74</v>
      </c>
      <c r="AD357" t="s">
        <v>74</v>
      </c>
      <c r="AE357" t="s">
        <v>74</v>
      </c>
      <c r="AF357" t="s">
        <v>74</v>
      </c>
      <c r="AG357">
        <v>61</v>
      </c>
      <c r="AH357">
        <v>17</v>
      </c>
      <c r="AI357">
        <v>17</v>
      </c>
      <c r="AJ357">
        <v>0</v>
      </c>
      <c r="AK357">
        <v>13</v>
      </c>
      <c r="AL357" t="s">
        <v>527</v>
      </c>
      <c r="AM357" t="s">
        <v>528</v>
      </c>
      <c r="AN357" t="s">
        <v>529</v>
      </c>
      <c r="AO357" t="s">
        <v>2393</v>
      </c>
      <c r="AP357" t="s">
        <v>74</v>
      </c>
      <c r="AQ357" t="s">
        <v>74</v>
      </c>
      <c r="AR357" t="s">
        <v>2394</v>
      </c>
      <c r="AS357" t="s">
        <v>2395</v>
      </c>
      <c r="AT357" t="s">
        <v>5606</v>
      </c>
      <c r="AU357">
        <v>2005</v>
      </c>
      <c r="AV357">
        <v>6</v>
      </c>
      <c r="AW357" t="s">
        <v>74</v>
      </c>
      <c r="AX357" t="s">
        <v>74</v>
      </c>
      <c r="AY357" t="s">
        <v>74</v>
      </c>
      <c r="AZ357" t="s">
        <v>74</v>
      </c>
      <c r="BA357" t="s">
        <v>74</v>
      </c>
      <c r="BB357" t="s">
        <v>74</v>
      </c>
      <c r="BC357" t="s">
        <v>74</v>
      </c>
      <c r="BD357" t="s">
        <v>5607</v>
      </c>
      <c r="BE357" t="s">
        <v>5608</v>
      </c>
      <c r="BF357" t="str">
        <f>HYPERLINK("http://dx.doi.org/10.1029/2004GC000819","http://dx.doi.org/10.1029/2004GC000819")</f>
        <v>http://dx.doi.org/10.1029/2004GC000819</v>
      </c>
      <c r="BG357" t="s">
        <v>74</v>
      </c>
      <c r="BH357" t="s">
        <v>74</v>
      </c>
      <c r="BI357">
        <v>22</v>
      </c>
      <c r="BJ357" t="s">
        <v>381</v>
      </c>
      <c r="BK357" t="s">
        <v>95</v>
      </c>
      <c r="BL357" t="s">
        <v>381</v>
      </c>
      <c r="BM357" t="s">
        <v>5609</v>
      </c>
      <c r="BN357" t="s">
        <v>74</v>
      </c>
      <c r="BO357" t="s">
        <v>613</v>
      </c>
      <c r="BP357" t="s">
        <v>74</v>
      </c>
      <c r="BQ357" t="s">
        <v>74</v>
      </c>
      <c r="BR357" t="s">
        <v>97</v>
      </c>
      <c r="BS357" t="s">
        <v>5610</v>
      </c>
      <c r="BT357" t="str">
        <f>HYPERLINK("https%3A%2F%2Fwww.webofscience.com%2Fwos%2Fwoscc%2Ffull-record%2FWOS:000227547400001","View Full Record in Web of Science")</f>
        <v>View Full Record in Web of Science</v>
      </c>
    </row>
    <row r="358" spans="1:72" x14ac:dyDescent="0.15">
      <c r="A358" t="s">
        <v>72</v>
      </c>
      <c r="B358" t="s">
        <v>5611</v>
      </c>
      <c r="C358" t="s">
        <v>74</v>
      </c>
      <c r="D358" t="s">
        <v>74</v>
      </c>
      <c r="E358" t="s">
        <v>74</v>
      </c>
      <c r="F358" t="s">
        <v>5611</v>
      </c>
      <c r="G358" t="s">
        <v>74</v>
      </c>
      <c r="H358" t="s">
        <v>74</v>
      </c>
      <c r="I358" t="s">
        <v>5612</v>
      </c>
      <c r="J358" t="s">
        <v>2344</v>
      </c>
      <c r="K358" t="s">
        <v>74</v>
      </c>
      <c r="L358" t="s">
        <v>74</v>
      </c>
      <c r="M358" t="s">
        <v>77</v>
      </c>
      <c r="N358" t="s">
        <v>78</v>
      </c>
      <c r="O358" t="s">
        <v>74</v>
      </c>
      <c r="P358" t="s">
        <v>74</v>
      </c>
      <c r="Q358" t="s">
        <v>74</v>
      </c>
      <c r="R358" t="s">
        <v>74</v>
      </c>
      <c r="S358" t="s">
        <v>74</v>
      </c>
      <c r="T358" t="s">
        <v>74</v>
      </c>
      <c r="U358" t="s">
        <v>5613</v>
      </c>
      <c r="V358" t="s">
        <v>5614</v>
      </c>
      <c r="W358" t="s">
        <v>5615</v>
      </c>
      <c r="X358" t="s">
        <v>74</v>
      </c>
      <c r="Y358" t="s">
        <v>5616</v>
      </c>
      <c r="Z358" t="s">
        <v>5617</v>
      </c>
      <c r="AA358" t="s">
        <v>5618</v>
      </c>
      <c r="AB358" t="s">
        <v>5619</v>
      </c>
      <c r="AC358" t="s">
        <v>74</v>
      </c>
      <c r="AD358" t="s">
        <v>74</v>
      </c>
      <c r="AE358" t="s">
        <v>74</v>
      </c>
      <c r="AF358" t="s">
        <v>74</v>
      </c>
      <c r="AG358">
        <v>32</v>
      </c>
      <c r="AH358">
        <v>40</v>
      </c>
      <c r="AI358">
        <v>41</v>
      </c>
      <c r="AJ358">
        <v>0</v>
      </c>
      <c r="AK358">
        <v>4</v>
      </c>
      <c r="AL358" t="s">
        <v>2353</v>
      </c>
      <c r="AM358" t="s">
        <v>2354</v>
      </c>
      <c r="AN358" t="s">
        <v>2355</v>
      </c>
      <c r="AO358" t="s">
        <v>2356</v>
      </c>
      <c r="AP358" t="s">
        <v>2357</v>
      </c>
      <c r="AQ358" t="s">
        <v>74</v>
      </c>
      <c r="AR358" t="s">
        <v>2358</v>
      </c>
      <c r="AS358" t="s">
        <v>2359</v>
      </c>
      <c r="AT358" t="s">
        <v>5620</v>
      </c>
      <c r="AU358">
        <v>2005</v>
      </c>
      <c r="AV358">
        <v>5</v>
      </c>
      <c r="AW358" t="s">
        <v>74</v>
      </c>
      <c r="AX358" t="s">
        <v>74</v>
      </c>
      <c r="AY358" t="s">
        <v>74</v>
      </c>
      <c r="AZ358" t="s">
        <v>74</v>
      </c>
      <c r="BA358" t="s">
        <v>74</v>
      </c>
      <c r="BB358">
        <v>693</v>
      </c>
      <c r="BC358">
        <v>702</v>
      </c>
      <c r="BD358" t="s">
        <v>74</v>
      </c>
      <c r="BE358" t="s">
        <v>5621</v>
      </c>
      <c r="BF358" t="str">
        <f>HYPERLINK("http://dx.doi.org/10.5194/acp-5-693-2005","http://dx.doi.org/10.5194/acp-5-693-2005")</f>
        <v>http://dx.doi.org/10.5194/acp-5-693-2005</v>
      </c>
      <c r="BG358" t="s">
        <v>74</v>
      </c>
      <c r="BH358" t="s">
        <v>74</v>
      </c>
      <c r="BI358">
        <v>10</v>
      </c>
      <c r="BJ358" t="s">
        <v>2362</v>
      </c>
      <c r="BK358" t="s">
        <v>95</v>
      </c>
      <c r="BL358" t="s">
        <v>2363</v>
      </c>
      <c r="BM358" t="s">
        <v>5622</v>
      </c>
      <c r="BN358" t="s">
        <v>74</v>
      </c>
      <c r="BO358" t="s">
        <v>5623</v>
      </c>
      <c r="BP358" t="s">
        <v>74</v>
      </c>
      <c r="BQ358" t="s">
        <v>74</v>
      </c>
      <c r="BR358" t="s">
        <v>97</v>
      </c>
      <c r="BS358" t="s">
        <v>5624</v>
      </c>
      <c r="BT358" t="str">
        <f>HYPERLINK("https%3A%2F%2Fwww.webofscience.com%2Fwos%2Fwoscc%2Ffull-record%2FWOS:000227344000003","View Full Record in Web of Science")</f>
        <v>View Full Record in Web of Science</v>
      </c>
    </row>
    <row r="359" spans="1:72" x14ac:dyDescent="0.15">
      <c r="A359" t="s">
        <v>72</v>
      </c>
      <c r="B359" t="s">
        <v>5625</v>
      </c>
      <c r="C359" t="s">
        <v>74</v>
      </c>
      <c r="D359" t="s">
        <v>74</v>
      </c>
      <c r="E359" t="s">
        <v>74</v>
      </c>
      <c r="F359" t="s">
        <v>5625</v>
      </c>
      <c r="G359" t="s">
        <v>74</v>
      </c>
      <c r="H359" t="s">
        <v>74</v>
      </c>
      <c r="I359" t="s">
        <v>5626</v>
      </c>
      <c r="J359" t="s">
        <v>5627</v>
      </c>
      <c r="K359" t="s">
        <v>74</v>
      </c>
      <c r="L359" t="s">
        <v>74</v>
      </c>
      <c r="M359" t="s">
        <v>77</v>
      </c>
      <c r="N359" t="s">
        <v>78</v>
      </c>
      <c r="O359" t="s">
        <v>74</v>
      </c>
      <c r="P359" t="s">
        <v>74</v>
      </c>
      <c r="Q359" t="s">
        <v>74</v>
      </c>
      <c r="R359" t="s">
        <v>74</v>
      </c>
      <c r="S359" t="s">
        <v>74</v>
      </c>
      <c r="T359" t="s">
        <v>74</v>
      </c>
      <c r="U359" t="s">
        <v>5628</v>
      </c>
      <c r="V359" t="s">
        <v>5629</v>
      </c>
      <c r="W359" t="s">
        <v>5630</v>
      </c>
      <c r="X359" t="s">
        <v>5631</v>
      </c>
      <c r="Y359" t="s">
        <v>5632</v>
      </c>
      <c r="Z359" t="s">
        <v>5633</v>
      </c>
      <c r="AA359" t="s">
        <v>74</v>
      </c>
      <c r="AB359" t="s">
        <v>74</v>
      </c>
      <c r="AC359" t="s">
        <v>74</v>
      </c>
      <c r="AD359" t="s">
        <v>74</v>
      </c>
      <c r="AE359" t="s">
        <v>74</v>
      </c>
      <c r="AF359" t="s">
        <v>74</v>
      </c>
      <c r="AG359">
        <v>29</v>
      </c>
      <c r="AH359">
        <v>10</v>
      </c>
      <c r="AI359">
        <v>11</v>
      </c>
      <c r="AJ359">
        <v>0</v>
      </c>
      <c r="AK359">
        <v>4</v>
      </c>
      <c r="AL359" t="s">
        <v>5634</v>
      </c>
      <c r="AM359" t="s">
        <v>5635</v>
      </c>
      <c r="AN359" t="s">
        <v>5636</v>
      </c>
      <c r="AO359" t="s">
        <v>74</v>
      </c>
      <c r="AP359" t="s">
        <v>5637</v>
      </c>
      <c r="AQ359" t="s">
        <v>74</v>
      </c>
      <c r="AR359" t="s">
        <v>5638</v>
      </c>
      <c r="AS359" t="s">
        <v>5639</v>
      </c>
      <c r="AT359" t="s">
        <v>5640</v>
      </c>
      <c r="AU359">
        <v>2005</v>
      </c>
      <c r="AV359">
        <v>61</v>
      </c>
      <c r="AW359" t="s">
        <v>74</v>
      </c>
      <c r="AX359">
        <v>3</v>
      </c>
      <c r="AY359" t="s">
        <v>74</v>
      </c>
      <c r="AZ359" t="s">
        <v>74</v>
      </c>
      <c r="BA359" t="s">
        <v>74</v>
      </c>
      <c r="BB359">
        <v>308</v>
      </c>
      <c r="BC359">
        <v>311</v>
      </c>
      <c r="BD359" t="s">
        <v>74</v>
      </c>
      <c r="BE359" t="s">
        <v>5641</v>
      </c>
      <c r="BF359" t="str">
        <f>HYPERLINK("http://dx.doi.org/10.1107/S1744309105004082","http://dx.doi.org/10.1107/S1744309105004082")</f>
        <v>http://dx.doi.org/10.1107/S1744309105004082</v>
      </c>
      <c r="BG359" t="s">
        <v>74</v>
      </c>
      <c r="BH359" t="s">
        <v>74</v>
      </c>
      <c r="BI359">
        <v>4</v>
      </c>
      <c r="BJ359" t="s">
        <v>5642</v>
      </c>
      <c r="BK359" t="s">
        <v>95</v>
      </c>
      <c r="BL359" t="s">
        <v>5643</v>
      </c>
      <c r="BM359" t="s">
        <v>5644</v>
      </c>
      <c r="BN359">
        <v>16511027</v>
      </c>
      <c r="BO359" t="s">
        <v>750</v>
      </c>
      <c r="BP359" t="s">
        <v>74</v>
      </c>
      <c r="BQ359" t="s">
        <v>74</v>
      </c>
      <c r="BR359" t="s">
        <v>97</v>
      </c>
      <c r="BS359" t="s">
        <v>5645</v>
      </c>
      <c r="BT359" t="str">
        <f>HYPERLINK("https%3A%2F%2Fwww.webofscience.com%2Fwos%2Fwoscc%2Ffull-record%2FWOS:000232293100017","View Full Record in Web of Science")</f>
        <v>View Full Record in Web of Science</v>
      </c>
    </row>
    <row r="360" spans="1:72" x14ac:dyDescent="0.15">
      <c r="A360" t="s">
        <v>72</v>
      </c>
      <c r="B360" t="s">
        <v>1065</v>
      </c>
      <c r="C360" t="s">
        <v>74</v>
      </c>
      <c r="D360" t="s">
        <v>74</v>
      </c>
      <c r="E360" t="s">
        <v>74</v>
      </c>
      <c r="F360" t="s">
        <v>1065</v>
      </c>
      <c r="G360" t="s">
        <v>74</v>
      </c>
      <c r="H360" t="s">
        <v>74</v>
      </c>
      <c r="I360" t="s">
        <v>5646</v>
      </c>
      <c r="J360" t="s">
        <v>1067</v>
      </c>
      <c r="K360" t="s">
        <v>74</v>
      </c>
      <c r="L360" t="s">
        <v>74</v>
      </c>
      <c r="M360" t="s">
        <v>77</v>
      </c>
      <c r="N360" t="s">
        <v>249</v>
      </c>
      <c r="O360" t="s">
        <v>74</v>
      </c>
      <c r="P360" t="s">
        <v>74</v>
      </c>
      <c r="Q360" t="s">
        <v>74</v>
      </c>
      <c r="R360" t="s">
        <v>74</v>
      </c>
      <c r="S360" t="s">
        <v>74</v>
      </c>
      <c r="T360" t="s">
        <v>74</v>
      </c>
      <c r="U360" t="s">
        <v>74</v>
      </c>
      <c r="V360" t="s">
        <v>74</v>
      </c>
      <c r="W360" t="s">
        <v>74</v>
      </c>
      <c r="X360" t="s">
        <v>74</v>
      </c>
      <c r="Y360" t="s">
        <v>74</v>
      </c>
      <c r="Z360" t="s">
        <v>74</v>
      </c>
      <c r="AA360" t="s">
        <v>74</v>
      </c>
      <c r="AB360" t="s">
        <v>1068</v>
      </c>
      <c r="AC360" t="s">
        <v>74</v>
      </c>
      <c r="AD360" t="s">
        <v>74</v>
      </c>
      <c r="AE360" t="s">
        <v>74</v>
      </c>
      <c r="AF360" t="s">
        <v>74</v>
      </c>
      <c r="AG360">
        <v>0</v>
      </c>
      <c r="AH360">
        <v>0</v>
      </c>
      <c r="AI360">
        <v>0</v>
      </c>
      <c r="AJ360">
        <v>0</v>
      </c>
      <c r="AK360">
        <v>1</v>
      </c>
      <c r="AL360" t="s">
        <v>212</v>
      </c>
      <c r="AM360" t="s">
        <v>134</v>
      </c>
      <c r="AN360" t="s">
        <v>213</v>
      </c>
      <c r="AO360" t="s">
        <v>1069</v>
      </c>
      <c r="AP360" t="s">
        <v>74</v>
      </c>
      <c r="AQ360" t="s">
        <v>74</v>
      </c>
      <c r="AR360" t="s">
        <v>1070</v>
      </c>
      <c r="AS360" t="s">
        <v>1071</v>
      </c>
      <c r="AT360" t="s">
        <v>5640</v>
      </c>
      <c r="AU360">
        <v>2005</v>
      </c>
      <c r="AV360">
        <v>17</v>
      </c>
      <c r="AW360">
        <v>1</v>
      </c>
      <c r="AX360" t="s">
        <v>74</v>
      </c>
      <c r="AY360" t="s">
        <v>74</v>
      </c>
      <c r="AZ360" t="s">
        <v>74</v>
      </c>
      <c r="BA360" t="s">
        <v>74</v>
      </c>
      <c r="BB360">
        <v>1</v>
      </c>
      <c r="BC360">
        <v>1</v>
      </c>
      <c r="BD360" t="s">
        <v>74</v>
      </c>
      <c r="BE360" t="s">
        <v>5647</v>
      </c>
      <c r="BF360" t="str">
        <f>HYPERLINK("http://dx.doi.org/10.1017/S0954102005002531","http://dx.doi.org/10.1017/S0954102005002531")</f>
        <v>http://dx.doi.org/10.1017/S0954102005002531</v>
      </c>
      <c r="BG360" t="s">
        <v>74</v>
      </c>
      <c r="BH360" t="s">
        <v>74</v>
      </c>
      <c r="BI360">
        <v>1</v>
      </c>
      <c r="BJ360" t="s">
        <v>1074</v>
      </c>
      <c r="BK360" t="s">
        <v>95</v>
      </c>
      <c r="BL360" t="s">
        <v>1075</v>
      </c>
      <c r="BM360" t="s">
        <v>5648</v>
      </c>
      <c r="BN360" t="s">
        <v>74</v>
      </c>
      <c r="BO360" t="s">
        <v>539</v>
      </c>
      <c r="BP360" t="s">
        <v>74</v>
      </c>
      <c r="BQ360" t="s">
        <v>74</v>
      </c>
      <c r="BR360" t="s">
        <v>97</v>
      </c>
      <c r="BS360" t="s">
        <v>5649</v>
      </c>
      <c r="BT360" t="str">
        <f>HYPERLINK("https%3A%2F%2Fwww.webofscience.com%2Fwos%2Fwoscc%2Ffull-record%2FWOS:000228018700001","View Full Record in Web of Science")</f>
        <v>View Full Record in Web of Science</v>
      </c>
    </row>
    <row r="361" spans="1:72" x14ac:dyDescent="0.15">
      <c r="A361" t="s">
        <v>72</v>
      </c>
      <c r="B361" t="s">
        <v>5650</v>
      </c>
      <c r="C361" t="s">
        <v>74</v>
      </c>
      <c r="D361" t="s">
        <v>74</v>
      </c>
      <c r="E361" t="s">
        <v>74</v>
      </c>
      <c r="F361" t="s">
        <v>5650</v>
      </c>
      <c r="G361" t="s">
        <v>74</v>
      </c>
      <c r="H361" t="s">
        <v>74</v>
      </c>
      <c r="I361" t="s">
        <v>5651</v>
      </c>
      <c r="J361" t="s">
        <v>1067</v>
      </c>
      <c r="K361" t="s">
        <v>74</v>
      </c>
      <c r="L361" t="s">
        <v>74</v>
      </c>
      <c r="M361" t="s">
        <v>77</v>
      </c>
      <c r="N361" t="s">
        <v>78</v>
      </c>
      <c r="O361" t="s">
        <v>74</v>
      </c>
      <c r="P361" t="s">
        <v>74</v>
      </c>
      <c r="Q361" t="s">
        <v>74</v>
      </c>
      <c r="R361" t="s">
        <v>74</v>
      </c>
      <c r="S361" t="s">
        <v>74</v>
      </c>
      <c r="T361" t="s">
        <v>5652</v>
      </c>
      <c r="U361" t="s">
        <v>5653</v>
      </c>
      <c r="V361" t="s">
        <v>5654</v>
      </c>
      <c r="W361" t="s">
        <v>74</v>
      </c>
      <c r="X361" t="s">
        <v>74</v>
      </c>
      <c r="Y361" t="s">
        <v>5655</v>
      </c>
      <c r="Z361" t="s">
        <v>74</v>
      </c>
      <c r="AA361" t="s">
        <v>74</v>
      </c>
      <c r="AB361" t="s">
        <v>74</v>
      </c>
      <c r="AC361" t="s">
        <v>74</v>
      </c>
      <c r="AD361" t="s">
        <v>74</v>
      </c>
      <c r="AE361" t="s">
        <v>74</v>
      </c>
      <c r="AF361" t="s">
        <v>74</v>
      </c>
      <c r="AG361">
        <v>32</v>
      </c>
      <c r="AH361">
        <v>2</v>
      </c>
      <c r="AI361">
        <v>2</v>
      </c>
      <c r="AJ361">
        <v>0</v>
      </c>
      <c r="AK361">
        <v>14</v>
      </c>
      <c r="AL361" t="s">
        <v>212</v>
      </c>
      <c r="AM361" t="s">
        <v>134</v>
      </c>
      <c r="AN361" t="s">
        <v>236</v>
      </c>
      <c r="AO361" t="s">
        <v>1069</v>
      </c>
      <c r="AP361" t="s">
        <v>1088</v>
      </c>
      <c r="AQ361" t="s">
        <v>74</v>
      </c>
      <c r="AR361" t="s">
        <v>1070</v>
      </c>
      <c r="AS361" t="s">
        <v>1071</v>
      </c>
      <c r="AT361" t="s">
        <v>5640</v>
      </c>
      <c r="AU361">
        <v>2005</v>
      </c>
      <c r="AV361">
        <v>17</v>
      </c>
      <c r="AW361">
        <v>1</v>
      </c>
      <c r="AX361" t="s">
        <v>74</v>
      </c>
      <c r="AY361" t="s">
        <v>74</v>
      </c>
      <c r="AZ361" t="s">
        <v>74</v>
      </c>
      <c r="BA361" t="s">
        <v>74</v>
      </c>
      <c r="BB361">
        <v>3</v>
      </c>
      <c r="BC361">
        <v>10</v>
      </c>
      <c r="BD361" t="s">
        <v>74</v>
      </c>
      <c r="BE361" t="s">
        <v>5656</v>
      </c>
      <c r="BF361" t="str">
        <f>HYPERLINK("http://dx.doi.org/10.1017/S0954102005002361","http://dx.doi.org/10.1017/S0954102005002361")</f>
        <v>http://dx.doi.org/10.1017/S0954102005002361</v>
      </c>
      <c r="BG361" t="s">
        <v>74</v>
      </c>
      <c r="BH361" t="s">
        <v>74</v>
      </c>
      <c r="BI361">
        <v>8</v>
      </c>
      <c r="BJ361" t="s">
        <v>1074</v>
      </c>
      <c r="BK361" t="s">
        <v>95</v>
      </c>
      <c r="BL361" t="s">
        <v>1075</v>
      </c>
      <c r="BM361" t="s">
        <v>5648</v>
      </c>
      <c r="BN361" t="s">
        <v>74</v>
      </c>
      <c r="BO361" t="s">
        <v>74</v>
      </c>
      <c r="BP361" t="s">
        <v>74</v>
      </c>
      <c r="BQ361" t="s">
        <v>74</v>
      </c>
      <c r="BR361" t="s">
        <v>97</v>
      </c>
      <c r="BS361" t="s">
        <v>5657</v>
      </c>
      <c r="BT361" t="str">
        <f>HYPERLINK("https%3A%2F%2Fwww.webofscience.com%2Fwos%2Fwoscc%2Ffull-record%2FWOS:000228018700002","View Full Record in Web of Science")</f>
        <v>View Full Record in Web of Science</v>
      </c>
    </row>
    <row r="362" spans="1:72" x14ac:dyDescent="0.15">
      <c r="A362" t="s">
        <v>72</v>
      </c>
      <c r="B362" t="s">
        <v>5658</v>
      </c>
      <c r="C362" t="s">
        <v>74</v>
      </c>
      <c r="D362" t="s">
        <v>74</v>
      </c>
      <c r="E362" t="s">
        <v>74</v>
      </c>
      <c r="F362" t="s">
        <v>5658</v>
      </c>
      <c r="G362" t="s">
        <v>74</v>
      </c>
      <c r="H362" t="s">
        <v>74</v>
      </c>
      <c r="I362" t="s">
        <v>5659</v>
      </c>
      <c r="J362" t="s">
        <v>1067</v>
      </c>
      <c r="K362" t="s">
        <v>74</v>
      </c>
      <c r="L362" t="s">
        <v>74</v>
      </c>
      <c r="M362" t="s">
        <v>77</v>
      </c>
      <c r="N362" t="s">
        <v>78</v>
      </c>
      <c r="O362" t="s">
        <v>74</v>
      </c>
      <c r="P362" t="s">
        <v>74</v>
      </c>
      <c r="Q362" t="s">
        <v>74</v>
      </c>
      <c r="R362" t="s">
        <v>74</v>
      </c>
      <c r="S362" t="s">
        <v>74</v>
      </c>
      <c r="T362" t="s">
        <v>5660</v>
      </c>
      <c r="U362" t="s">
        <v>5661</v>
      </c>
      <c r="V362" t="s">
        <v>5662</v>
      </c>
      <c r="W362" t="s">
        <v>5663</v>
      </c>
      <c r="X362" t="s">
        <v>1395</v>
      </c>
      <c r="Y362" t="s">
        <v>5664</v>
      </c>
      <c r="Z362" t="s">
        <v>1412</v>
      </c>
      <c r="AA362" t="s">
        <v>5665</v>
      </c>
      <c r="AB362" t="s">
        <v>74</v>
      </c>
      <c r="AC362" t="s">
        <v>74</v>
      </c>
      <c r="AD362" t="s">
        <v>74</v>
      </c>
      <c r="AE362" t="s">
        <v>74</v>
      </c>
      <c r="AF362" t="s">
        <v>74</v>
      </c>
      <c r="AG362">
        <v>36</v>
      </c>
      <c r="AH362">
        <v>29</v>
      </c>
      <c r="AI362">
        <v>31</v>
      </c>
      <c r="AJ362">
        <v>3</v>
      </c>
      <c r="AK362">
        <v>14</v>
      </c>
      <c r="AL362" t="s">
        <v>212</v>
      </c>
      <c r="AM362" t="s">
        <v>134</v>
      </c>
      <c r="AN362" t="s">
        <v>236</v>
      </c>
      <c r="AO362" t="s">
        <v>1069</v>
      </c>
      <c r="AP362" t="s">
        <v>1088</v>
      </c>
      <c r="AQ362" t="s">
        <v>74</v>
      </c>
      <c r="AR362" t="s">
        <v>1070</v>
      </c>
      <c r="AS362" t="s">
        <v>1071</v>
      </c>
      <c r="AT362" t="s">
        <v>5640</v>
      </c>
      <c r="AU362">
        <v>2005</v>
      </c>
      <c r="AV362">
        <v>17</v>
      </c>
      <c r="AW362">
        <v>1</v>
      </c>
      <c r="AX362" t="s">
        <v>74</v>
      </c>
      <c r="AY362" t="s">
        <v>74</v>
      </c>
      <c r="AZ362" t="s">
        <v>74</v>
      </c>
      <c r="BA362" t="s">
        <v>74</v>
      </c>
      <c r="BB362">
        <v>11</v>
      </c>
      <c r="BC362">
        <v>16</v>
      </c>
      <c r="BD362" t="s">
        <v>74</v>
      </c>
      <c r="BE362" t="s">
        <v>5666</v>
      </c>
      <c r="BF362" t="str">
        <f>HYPERLINK("http://dx.doi.org/10.1017/S0954102005002373","http://dx.doi.org/10.1017/S0954102005002373")</f>
        <v>http://dx.doi.org/10.1017/S0954102005002373</v>
      </c>
      <c r="BG362" t="s">
        <v>74</v>
      </c>
      <c r="BH362" t="s">
        <v>74</v>
      </c>
      <c r="BI362">
        <v>6</v>
      </c>
      <c r="BJ362" t="s">
        <v>1074</v>
      </c>
      <c r="BK362" t="s">
        <v>95</v>
      </c>
      <c r="BL362" t="s">
        <v>1075</v>
      </c>
      <c r="BM362" t="s">
        <v>5648</v>
      </c>
      <c r="BN362" t="s">
        <v>74</v>
      </c>
      <c r="BO362" t="s">
        <v>74</v>
      </c>
      <c r="BP362" t="s">
        <v>74</v>
      </c>
      <c r="BQ362" t="s">
        <v>74</v>
      </c>
      <c r="BR362" t="s">
        <v>97</v>
      </c>
      <c r="BS362" t="s">
        <v>5667</v>
      </c>
      <c r="BT362" t="str">
        <f>HYPERLINK("https%3A%2F%2Fwww.webofscience.com%2Fwos%2Fwoscc%2Ffull-record%2FWOS:000228018700003","View Full Record in Web of Science")</f>
        <v>View Full Record in Web of Science</v>
      </c>
    </row>
    <row r="363" spans="1:72" x14ac:dyDescent="0.15">
      <c r="A363" t="s">
        <v>72</v>
      </c>
      <c r="B363" t="s">
        <v>5668</v>
      </c>
      <c r="C363" t="s">
        <v>74</v>
      </c>
      <c r="D363" t="s">
        <v>74</v>
      </c>
      <c r="E363" t="s">
        <v>74</v>
      </c>
      <c r="F363" t="s">
        <v>5668</v>
      </c>
      <c r="G363" t="s">
        <v>74</v>
      </c>
      <c r="H363" t="s">
        <v>74</v>
      </c>
      <c r="I363" t="s">
        <v>5669</v>
      </c>
      <c r="J363" t="s">
        <v>1067</v>
      </c>
      <c r="K363" t="s">
        <v>74</v>
      </c>
      <c r="L363" t="s">
        <v>74</v>
      </c>
      <c r="M363" t="s">
        <v>77</v>
      </c>
      <c r="N363" t="s">
        <v>78</v>
      </c>
      <c r="O363" t="s">
        <v>74</v>
      </c>
      <c r="P363" t="s">
        <v>74</v>
      </c>
      <c r="Q363" t="s">
        <v>74</v>
      </c>
      <c r="R363" t="s">
        <v>74</v>
      </c>
      <c r="S363" t="s">
        <v>74</v>
      </c>
      <c r="T363" t="s">
        <v>5670</v>
      </c>
      <c r="U363" t="s">
        <v>5671</v>
      </c>
      <c r="V363" t="s">
        <v>5672</v>
      </c>
      <c r="W363" t="s">
        <v>670</v>
      </c>
      <c r="X363" t="s">
        <v>671</v>
      </c>
      <c r="Y363" t="s">
        <v>5673</v>
      </c>
      <c r="Z363" t="s">
        <v>5674</v>
      </c>
      <c r="AA363" t="s">
        <v>74</v>
      </c>
      <c r="AB363" t="s">
        <v>74</v>
      </c>
      <c r="AC363" t="s">
        <v>74</v>
      </c>
      <c r="AD363" t="s">
        <v>74</v>
      </c>
      <c r="AE363" t="s">
        <v>74</v>
      </c>
      <c r="AF363" t="s">
        <v>74</v>
      </c>
      <c r="AG363">
        <v>40</v>
      </c>
      <c r="AH363">
        <v>46</v>
      </c>
      <c r="AI363">
        <v>52</v>
      </c>
      <c r="AJ363">
        <v>0</v>
      </c>
      <c r="AK363">
        <v>6</v>
      </c>
      <c r="AL363" t="s">
        <v>212</v>
      </c>
      <c r="AM363" t="s">
        <v>134</v>
      </c>
      <c r="AN363" t="s">
        <v>236</v>
      </c>
      <c r="AO363" t="s">
        <v>1069</v>
      </c>
      <c r="AP363" t="s">
        <v>1088</v>
      </c>
      <c r="AQ363" t="s">
        <v>74</v>
      </c>
      <c r="AR363" t="s">
        <v>1070</v>
      </c>
      <c r="AS363" t="s">
        <v>1071</v>
      </c>
      <c r="AT363" t="s">
        <v>5640</v>
      </c>
      <c r="AU363">
        <v>2005</v>
      </c>
      <c r="AV363">
        <v>17</v>
      </c>
      <c r="AW363">
        <v>1</v>
      </c>
      <c r="AX363" t="s">
        <v>74</v>
      </c>
      <c r="AY363" t="s">
        <v>74</v>
      </c>
      <c r="AZ363" t="s">
        <v>74</v>
      </c>
      <c r="BA363" t="s">
        <v>74</v>
      </c>
      <c r="BB363">
        <v>17</v>
      </c>
      <c r="BC363">
        <v>27</v>
      </c>
      <c r="BD363" t="s">
        <v>74</v>
      </c>
      <c r="BE363" t="s">
        <v>5675</v>
      </c>
      <c r="BF363" t="str">
        <f>HYPERLINK("http://dx.doi.org/10.1017/S0954102005002385","http://dx.doi.org/10.1017/S0954102005002385")</f>
        <v>http://dx.doi.org/10.1017/S0954102005002385</v>
      </c>
      <c r="BG363" t="s">
        <v>74</v>
      </c>
      <c r="BH363" t="s">
        <v>74</v>
      </c>
      <c r="BI363">
        <v>11</v>
      </c>
      <c r="BJ363" t="s">
        <v>1074</v>
      </c>
      <c r="BK363" t="s">
        <v>95</v>
      </c>
      <c r="BL363" t="s">
        <v>1075</v>
      </c>
      <c r="BM363" t="s">
        <v>5648</v>
      </c>
      <c r="BN363" t="s">
        <v>74</v>
      </c>
      <c r="BO363" t="s">
        <v>74</v>
      </c>
      <c r="BP363" t="s">
        <v>74</v>
      </c>
      <c r="BQ363" t="s">
        <v>74</v>
      </c>
      <c r="BR363" t="s">
        <v>97</v>
      </c>
      <c r="BS363" t="s">
        <v>5676</v>
      </c>
      <c r="BT363" t="str">
        <f>HYPERLINK("https%3A%2F%2Fwww.webofscience.com%2Fwos%2Fwoscc%2Ffull-record%2FWOS:000228018700004","View Full Record in Web of Science")</f>
        <v>View Full Record in Web of Science</v>
      </c>
    </row>
    <row r="364" spans="1:72" x14ac:dyDescent="0.15">
      <c r="A364" t="s">
        <v>72</v>
      </c>
      <c r="B364" t="s">
        <v>5677</v>
      </c>
      <c r="C364" t="s">
        <v>74</v>
      </c>
      <c r="D364" t="s">
        <v>74</v>
      </c>
      <c r="E364" t="s">
        <v>74</v>
      </c>
      <c r="F364" t="s">
        <v>5677</v>
      </c>
      <c r="G364" t="s">
        <v>74</v>
      </c>
      <c r="H364" t="s">
        <v>74</v>
      </c>
      <c r="I364" t="s">
        <v>5678</v>
      </c>
      <c r="J364" t="s">
        <v>1067</v>
      </c>
      <c r="K364" t="s">
        <v>74</v>
      </c>
      <c r="L364" t="s">
        <v>74</v>
      </c>
      <c r="M364" t="s">
        <v>77</v>
      </c>
      <c r="N364" t="s">
        <v>78</v>
      </c>
      <c r="O364" t="s">
        <v>74</v>
      </c>
      <c r="P364" t="s">
        <v>74</v>
      </c>
      <c r="Q364" t="s">
        <v>74</v>
      </c>
      <c r="R364" t="s">
        <v>74</v>
      </c>
      <c r="S364" t="s">
        <v>74</v>
      </c>
      <c r="T364" t="s">
        <v>5679</v>
      </c>
      <c r="U364" t="s">
        <v>5680</v>
      </c>
      <c r="V364" t="s">
        <v>5681</v>
      </c>
      <c r="W364" t="s">
        <v>5682</v>
      </c>
      <c r="X364" t="s">
        <v>5683</v>
      </c>
      <c r="Y364" t="s">
        <v>5684</v>
      </c>
      <c r="Z364" t="s">
        <v>5685</v>
      </c>
      <c r="AA364" t="s">
        <v>74</v>
      </c>
      <c r="AB364" t="s">
        <v>5686</v>
      </c>
      <c r="AC364" t="s">
        <v>74</v>
      </c>
      <c r="AD364" t="s">
        <v>74</v>
      </c>
      <c r="AE364" t="s">
        <v>74</v>
      </c>
      <c r="AF364" t="s">
        <v>74</v>
      </c>
      <c r="AG364">
        <v>16</v>
      </c>
      <c r="AH364">
        <v>26</v>
      </c>
      <c r="AI364">
        <v>28</v>
      </c>
      <c r="AJ364">
        <v>0</v>
      </c>
      <c r="AK364">
        <v>12</v>
      </c>
      <c r="AL364" t="s">
        <v>212</v>
      </c>
      <c r="AM364" t="s">
        <v>134</v>
      </c>
      <c r="AN364" t="s">
        <v>236</v>
      </c>
      <c r="AO364" t="s">
        <v>1069</v>
      </c>
      <c r="AP364" t="s">
        <v>1088</v>
      </c>
      <c r="AQ364" t="s">
        <v>74</v>
      </c>
      <c r="AR364" t="s">
        <v>1070</v>
      </c>
      <c r="AS364" t="s">
        <v>1071</v>
      </c>
      <c r="AT364" t="s">
        <v>5640</v>
      </c>
      <c r="AU364">
        <v>2005</v>
      </c>
      <c r="AV364">
        <v>17</v>
      </c>
      <c r="AW364">
        <v>1</v>
      </c>
      <c r="AX364" t="s">
        <v>74</v>
      </c>
      <c r="AY364" t="s">
        <v>74</v>
      </c>
      <c r="AZ364" t="s">
        <v>74</v>
      </c>
      <c r="BA364" t="s">
        <v>74</v>
      </c>
      <c r="BB364">
        <v>29</v>
      </c>
      <c r="BC364">
        <v>32</v>
      </c>
      <c r="BD364" t="s">
        <v>74</v>
      </c>
      <c r="BE364" t="s">
        <v>5687</v>
      </c>
      <c r="BF364" t="str">
        <f>HYPERLINK("http://dx.doi.org/10.1017/S0954102005002397","http://dx.doi.org/10.1017/S0954102005002397")</f>
        <v>http://dx.doi.org/10.1017/S0954102005002397</v>
      </c>
      <c r="BG364" t="s">
        <v>74</v>
      </c>
      <c r="BH364" t="s">
        <v>74</v>
      </c>
      <c r="BI364">
        <v>4</v>
      </c>
      <c r="BJ364" t="s">
        <v>1074</v>
      </c>
      <c r="BK364" t="s">
        <v>95</v>
      </c>
      <c r="BL364" t="s">
        <v>1075</v>
      </c>
      <c r="BM364" t="s">
        <v>5648</v>
      </c>
      <c r="BN364" t="s">
        <v>74</v>
      </c>
      <c r="BO364" t="s">
        <v>74</v>
      </c>
      <c r="BP364" t="s">
        <v>74</v>
      </c>
      <c r="BQ364" t="s">
        <v>74</v>
      </c>
      <c r="BR364" t="s">
        <v>97</v>
      </c>
      <c r="BS364" t="s">
        <v>5688</v>
      </c>
      <c r="BT364" t="str">
        <f>HYPERLINK("https%3A%2F%2Fwww.webofscience.com%2Fwos%2Fwoscc%2Ffull-record%2FWOS:000228018700005","View Full Record in Web of Science")</f>
        <v>View Full Record in Web of Science</v>
      </c>
    </row>
    <row r="365" spans="1:72" x14ac:dyDescent="0.15">
      <c r="A365" t="s">
        <v>72</v>
      </c>
      <c r="B365" t="s">
        <v>5689</v>
      </c>
      <c r="C365" t="s">
        <v>74</v>
      </c>
      <c r="D365" t="s">
        <v>74</v>
      </c>
      <c r="E365" t="s">
        <v>74</v>
      </c>
      <c r="F365" t="s">
        <v>5689</v>
      </c>
      <c r="G365" t="s">
        <v>74</v>
      </c>
      <c r="H365" t="s">
        <v>74</v>
      </c>
      <c r="I365" t="s">
        <v>5690</v>
      </c>
      <c r="J365" t="s">
        <v>1067</v>
      </c>
      <c r="K365" t="s">
        <v>74</v>
      </c>
      <c r="L365" t="s">
        <v>74</v>
      </c>
      <c r="M365" t="s">
        <v>77</v>
      </c>
      <c r="N365" t="s">
        <v>78</v>
      </c>
      <c r="O365" t="s">
        <v>74</v>
      </c>
      <c r="P365" t="s">
        <v>74</v>
      </c>
      <c r="Q365" t="s">
        <v>74</v>
      </c>
      <c r="R365" t="s">
        <v>74</v>
      </c>
      <c r="S365" t="s">
        <v>74</v>
      </c>
      <c r="T365" t="s">
        <v>5691</v>
      </c>
      <c r="U365" t="s">
        <v>5692</v>
      </c>
      <c r="V365" t="s">
        <v>5693</v>
      </c>
      <c r="W365" t="s">
        <v>5694</v>
      </c>
      <c r="X365" t="s">
        <v>5695</v>
      </c>
      <c r="Y365" t="s">
        <v>5696</v>
      </c>
      <c r="Z365" t="s">
        <v>5697</v>
      </c>
      <c r="AA365" t="s">
        <v>74</v>
      </c>
      <c r="AB365" t="s">
        <v>5698</v>
      </c>
      <c r="AC365" t="s">
        <v>74</v>
      </c>
      <c r="AD365" t="s">
        <v>74</v>
      </c>
      <c r="AE365" t="s">
        <v>74</v>
      </c>
      <c r="AF365" t="s">
        <v>74</v>
      </c>
      <c r="AG365">
        <v>54</v>
      </c>
      <c r="AH365">
        <v>26</v>
      </c>
      <c r="AI365">
        <v>29</v>
      </c>
      <c r="AJ365">
        <v>0</v>
      </c>
      <c r="AK365">
        <v>10</v>
      </c>
      <c r="AL365" t="s">
        <v>212</v>
      </c>
      <c r="AM365" t="s">
        <v>134</v>
      </c>
      <c r="AN365" t="s">
        <v>236</v>
      </c>
      <c r="AO365" t="s">
        <v>1069</v>
      </c>
      <c r="AP365" t="s">
        <v>1088</v>
      </c>
      <c r="AQ365" t="s">
        <v>74</v>
      </c>
      <c r="AR365" t="s">
        <v>1070</v>
      </c>
      <c r="AS365" t="s">
        <v>1071</v>
      </c>
      <c r="AT365" t="s">
        <v>5640</v>
      </c>
      <c r="AU365">
        <v>2005</v>
      </c>
      <c r="AV365">
        <v>17</v>
      </c>
      <c r="AW365">
        <v>1</v>
      </c>
      <c r="AX365" t="s">
        <v>74</v>
      </c>
      <c r="AY365" t="s">
        <v>74</v>
      </c>
      <c r="AZ365" t="s">
        <v>74</v>
      </c>
      <c r="BA365" t="s">
        <v>74</v>
      </c>
      <c r="BB365">
        <v>33</v>
      </c>
      <c r="BC365">
        <v>45</v>
      </c>
      <c r="BD365" t="s">
        <v>74</v>
      </c>
      <c r="BE365" t="s">
        <v>5699</v>
      </c>
      <c r="BF365" t="str">
        <f>HYPERLINK("http://dx.doi.org/10.1017/S0954102005002403","http://dx.doi.org/10.1017/S0954102005002403")</f>
        <v>http://dx.doi.org/10.1017/S0954102005002403</v>
      </c>
      <c r="BG365" t="s">
        <v>74</v>
      </c>
      <c r="BH365" t="s">
        <v>74</v>
      </c>
      <c r="BI365">
        <v>13</v>
      </c>
      <c r="BJ365" t="s">
        <v>1074</v>
      </c>
      <c r="BK365" t="s">
        <v>95</v>
      </c>
      <c r="BL365" t="s">
        <v>1075</v>
      </c>
      <c r="BM365" t="s">
        <v>5648</v>
      </c>
      <c r="BN365" t="s">
        <v>74</v>
      </c>
      <c r="BO365" t="s">
        <v>74</v>
      </c>
      <c r="BP365" t="s">
        <v>74</v>
      </c>
      <c r="BQ365" t="s">
        <v>74</v>
      </c>
      <c r="BR365" t="s">
        <v>97</v>
      </c>
      <c r="BS365" t="s">
        <v>5700</v>
      </c>
      <c r="BT365" t="str">
        <f>HYPERLINK("https%3A%2F%2Fwww.webofscience.com%2Fwos%2Fwoscc%2Ffull-record%2FWOS:000228018700006","View Full Record in Web of Science")</f>
        <v>View Full Record in Web of Science</v>
      </c>
    </row>
    <row r="366" spans="1:72" x14ac:dyDescent="0.15">
      <c r="A366" t="s">
        <v>72</v>
      </c>
      <c r="B366" t="s">
        <v>5701</v>
      </c>
      <c r="C366" t="s">
        <v>74</v>
      </c>
      <c r="D366" t="s">
        <v>74</v>
      </c>
      <c r="E366" t="s">
        <v>74</v>
      </c>
      <c r="F366" t="s">
        <v>5701</v>
      </c>
      <c r="G366" t="s">
        <v>74</v>
      </c>
      <c r="H366" t="s">
        <v>74</v>
      </c>
      <c r="I366" t="s">
        <v>5702</v>
      </c>
      <c r="J366" t="s">
        <v>1067</v>
      </c>
      <c r="K366" t="s">
        <v>74</v>
      </c>
      <c r="L366" t="s">
        <v>74</v>
      </c>
      <c r="M366" t="s">
        <v>77</v>
      </c>
      <c r="N366" t="s">
        <v>78</v>
      </c>
      <c r="O366" t="s">
        <v>74</v>
      </c>
      <c r="P366" t="s">
        <v>74</v>
      </c>
      <c r="Q366" t="s">
        <v>74</v>
      </c>
      <c r="R366" t="s">
        <v>74</v>
      </c>
      <c r="S366" t="s">
        <v>74</v>
      </c>
      <c r="T366" t="s">
        <v>5703</v>
      </c>
      <c r="U366" t="s">
        <v>5704</v>
      </c>
      <c r="V366" t="s">
        <v>5705</v>
      </c>
      <c r="W366" t="s">
        <v>5706</v>
      </c>
      <c r="X366" t="s">
        <v>5707</v>
      </c>
      <c r="Y366" t="s">
        <v>5708</v>
      </c>
      <c r="Z366" t="s">
        <v>5709</v>
      </c>
      <c r="AA366" t="s">
        <v>5710</v>
      </c>
      <c r="AB366" t="s">
        <v>5711</v>
      </c>
      <c r="AC366" t="s">
        <v>74</v>
      </c>
      <c r="AD366" t="s">
        <v>74</v>
      </c>
      <c r="AE366" t="s">
        <v>74</v>
      </c>
      <c r="AF366" t="s">
        <v>74</v>
      </c>
      <c r="AG366">
        <v>50</v>
      </c>
      <c r="AH366">
        <v>67</v>
      </c>
      <c r="AI366">
        <v>78</v>
      </c>
      <c r="AJ366">
        <v>0</v>
      </c>
      <c r="AK366">
        <v>10</v>
      </c>
      <c r="AL366" t="s">
        <v>212</v>
      </c>
      <c r="AM366" t="s">
        <v>134</v>
      </c>
      <c r="AN366" t="s">
        <v>236</v>
      </c>
      <c r="AO366" t="s">
        <v>1069</v>
      </c>
      <c r="AP366" t="s">
        <v>1088</v>
      </c>
      <c r="AQ366" t="s">
        <v>74</v>
      </c>
      <c r="AR366" t="s">
        <v>1070</v>
      </c>
      <c r="AS366" t="s">
        <v>1071</v>
      </c>
      <c r="AT366" t="s">
        <v>5640</v>
      </c>
      <c r="AU366">
        <v>2005</v>
      </c>
      <c r="AV366">
        <v>17</v>
      </c>
      <c r="AW366">
        <v>1</v>
      </c>
      <c r="AX366" t="s">
        <v>74</v>
      </c>
      <c r="AY366" t="s">
        <v>74</v>
      </c>
      <c r="AZ366" t="s">
        <v>74</v>
      </c>
      <c r="BA366" t="s">
        <v>74</v>
      </c>
      <c r="BB366">
        <v>47</v>
      </c>
      <c r="BC366">
        <v>56</v>
      </c>
      <c r="BD366" t="s">
        <v>74</v>
      </c>
      <c r="BE366" t="s">
        <v>5712</v>
      </c>
      <c r="BF366" t="str">
        <f>HYPERLINK("http://dx.doi.org/10.1017/S0954102005002415","http://dx.doi.org/10.1017/S0954102005002415")</f>
        <v>http://dx.doi.org/10.1017/S0954102005002415</v>
      </c>
      <c r="BG366" t="s">
        <v>74</v>
      </c>
      <c r="BH366" t="s">
        <v>74</v>
      </c>
      <c r="BI366">
        <v>10</v>
      </c>
      <c r="BJ366" t="s">
        <v>1074</v>
      </c>
      <c r="BK366" t="s">
        <v>95</v>
      </c>
      <c r="BL366" t="s">
        <v>1075</v>
      </c>
      <c r="BM366" t="s">
        <v>5648</v>
      </c>
      <c r="BN366" t="s">
        <v>74</v>
      </c>
      <c r="BO366" t="s">
        <v>74</v>
      </c>
      <c r="BP366" t="s">
        <v>74</v>
      </c>
      <c r="BQ366" t="s">
        <v>74</v>
      </c>
      <c r="BR366" t="s">
        <v>97</v>
      </c>
      <c r="BS366" t="s">
        <v>5713</v>
      </c>
      <c r="BT366" t="str">
        <f>HYPERLINK("https%3A%2F%2Fwww.webofscience.com%2Fwos%2Fwoscc%2Ffull-record%2FWOS:000228018700007","View Full Record in Web of Science")</f>
        <v>View Full Record in Web of Science</v>
      </c>
    </row>
    <row r="367" spans="1:72" x14ac:dyDescent="0.15">
      <c r="A367" t="s">
        <v>72</v>
      </c>
      <c r="B367" t="s">
        <v>5714</v>
      </c>
      <c r="C367" t="s">
        <v>74</v>
      </c>
      <c r="D367" t="s">
        <v>74</v>
      </c>
      <c r="E367" t="s">
        <v>74</v>
      </c>
      <c r="F367" t="s">
        <v>5714</v>
      </c>
      <c r="G367" t="s">
        <v>74</v>
      </c>
      <c r="H367" t="s">
        <v>74</v>
      </c>
      <c r="I367" t="s">
        <v>5715</v>
      </c>
      <c r="J367" t="s">
        <v>1067</v>
      </c>
      <c r="K367" t="s">
        <v>74</v>
      </c>
      <c r="L367" t="s">
        <v>74</v>
      </c>
      <c r="M367" t="s">
        <v>77</v>
      </c>
      <c r="N367" t="s">
        <v>78</v>
      </c>
      <c r="O367" t="s">
        <v>74</v>
      </c>
      <c r="P367" t="s">
        <v>74</v>
      </c>
      <c r="Q367" t="s">
        <v>74</v>
      </c>
      <c r="R367" t="s">
        <v>74</v>
      </c>
      <c r="S367" t="s">
        <v>74</v>
      </c>
      <c r="T367" t="s">
        <v>5716</v>
      </c>
      <c r="U367" t="s">
        <v>5717</v>
      </c>
      <c r="V367" t="s">
        <v>5718</v>
      </c>
      <c r="W367" t="s">
        <v>5719</v>
      </c>
      <c r="X367" t="s">
        <v>5720</v>
      </c>
      <c r="Y367" t="s">
        <v>5721</v>
      </c>
      <c r="Z367" t="s">
        <v>5722</v>
      </c>
      <c r="AA367" t="s">
        <v>74</v>
      </c>
      <c r="AB367" t="s">
        <v>5723</v>
      </c>
      <c r="AC367" t="s">
        <v>74</v>
      </c>
      <c r="AD367" t="s">
        <v>74</v>
      </c>
      <c r="AE367" t="s">
        <v>74</v>
      </c>
      <c r="AF367" t="s">
        <v>74</v>
      </c>
      <c r="AG367">
        <v>26</v>
      </c>
      <c r="AH367">
        <v>43</v>
      </c>
      <c r="AI367">
        <v>48</v>
      </c>
      <c r="AJ367">
        <v>0</v>
      </c>
      <c r="AK367">
        <v>10</v>
      </c>
      <c r="AL367" t="s">
        <v>212</v>
      </c>
      <c r="AM367" t="s">
        <v>134</v>
      </c>
      <c r="AN367" t="s">
        <v>236</v>
      </c>
      <c r="AO367" t="s">
        <v>1069</v>
      </c>
      <c r="AP367" t="s">
        <v>74</v>
      </c>
      <c r="AQ367" t="s">
        <v>74</v>
      </c>
      <c r="AR367" t="s">
        <v>1070</v>
      </c>
      <c r="AS367" t="s">
        <v>1071</v>
      </c>
      <c r="AT367" t="s">
        <v>5640</v>
      </c>
      <c r="AU367">
        <v>2005</v>
      </c>
      <c r="AV367">
        <v>17</v>
      </c>
      <c r="AW367">
        <v>1</v>
      </c>
      <c r="AX367" t="s">
        <v>74</v>
      </c>
      <c r="AY367" t="s">
        <v>74</v>
      </c>
      <c r="AZ367" t="s">
        <v>74</v>
      </c>
      <c r="BA367" t="s">
        <v>74</v>
      </c>
      <c r="BB367">
        <v>57</v>
      </c>
      <c r="BC367">
        <v>66</v>
      </c>
      <c r="BD367" t="s">
        <v>74</v>
      </c>
      <c r="BE367" t="s">
        <v>5724</v>
      </c>
      <c r="BF367" t="str">
        <f>HYPERLINK("http://dx.doi.org/10.1017/S0954102005002427","http://dx.doi.org/10.1017/S0954102005002427")</f>
        <v>http://dx.doi.org/10.1017/S0954102005002427</v>
      </c>
      <c r="BG367" t="s">
        <v>74</v>
      </c>
      <c r="BH367" t="s">
        <v>74</v>
      </c>
      <c r="BI367">
        <v>10</v>
      </c>
      <c r="BJ367" t="s">
        <v>1074</v>
      </c>
      <c r="BK367" t="s">
        <v>95</v>
      </c>
      <c r="BL367" t="s">
        <v>1075</v>
      </c>
      <c r="BM367" t="s">
        <v>5648</v>
      </c>
      <c r="BN367" t="s">
        <v>74</v>
      </c>
      <c r="BO367" t="s">
        <v>74</v>
      </c>
      <c r="BP367" t="s">
        <v>74</v>
      </c>
      <c r="BQ367" t="s">
        <v>74</v>
      </c>
      <c r="BR367" t="s">
        <v>97</v>
      </c>
      <c r="BS367" t="s">
        <v>5725</v>
      </c>
      <c r="BT367" t="str">
        <f>HYPERLINK("https%3A%2F%2Fwww.webofscience.com%2Fwos%2Fwoscc%2Ffull-record%2FWOS:000228018700008","View Full Record in Web of Science")</f>
        <v>View Full Record in Web of Science</v>
      </c>
    </row>
    <row r="368" spans="1:72" x14ac:dyDescent="0.15">
      <c r="A368" t="s">
        <v>72</v>
      </c>
      <c r="B368" t="s">
        <v>5726</v>
      </c>
      <c r="C368" t="s">
        <v>74</v>
      </c>
      <c r="D368" t="s">
        <v>74</v>
      </c>
      <c r="E368" t="s">
        <v>74</v>
      </c>
      <c r="F368" t="s">
        <v>5726</v>
      </c>
      <c r="G368" t="s">
        <v>74</v>
      </c>
      <c r="H368" t="s">
        <v>74</v>
      </c>
      <c r="I368" t="s">
        <v>5727</v>
      </c>
      <c r="J368" t="s">
        <v>1067</v>
      </c>
      <c r="K368" t="s">
        <v>74</v>
      </c>
      <c r="L368" t="s">
        <v>74</v>
      </c>
      <c r="M368" t="s">
        <v>77</v>
      </c>
      <c r="N368" t="s">
        <v>78</v>
      </c>
      <c r="O368" t="s">
        <v>74</v>
      </c>
      <c r="P368" t="s">
        <v>74</v>
      </c>
      <c r="Q368" t="s">
        <v>74</v>
      </c>
      <c r="R368" t="s">
        <v>74</v>
      </c>
      <c r="S368" t="s">
        <v>74</v>
      </c>
      <c r="T368" t="s">
        <v>74</v>
      </c>
      <c r="U368" t="s">
        <v>74</v>
      </c>
      <c r="V368" t="s">
        <v>74</v>
      </c>
      <c r="W368" t="s">
        <v>5728</v>
      </c>
      <c r="X368" t="s">
        <v>74</v>
      </c>
      <c r="Y368" t="s">
        <v>5729</v>
      </c>
      <c r="Z368" t="s">
        <v>5730</v>
      </c>
      <c r="AA368" t="s">
        <v>74</v>
      </c>
      <c r="AB368" t="s">
        <v>74</v>
      </c>
      <c r="AC368" t="s">
        <v>74</v>
      </c>
      <c r="AD368" t="s">
        <v>74</v>
      </c>
      <c r="AE368" t="s">
        <v>74</v>
      </c>
      <c r="AF368" t="s">
        <v>74</v>
      </c>
      <c r="AG368">
        <v>7</v>
      </c>
      <c r="AH368">
        <v>33</v>
      </c>
      <c r="AI368">
        <v>36</v>
      </c>
      <c r="AJ368">
        <v>1</v>
      </c>
      <c r="AK368">
        <v>26</v>
      </c>
      <c r="AL368" t="s">
        <v>212</v>
      </c>
      <c r="AM368" t="s">
        <v>134</v>
      </c>
      <c r="AN368" t="s">
        <v>213</v>
      </c>
      <c r="AO368" t="s">
        <v>1069</v>
      </c>
      <c r="AP368" t="s">
        <v>74</v>
      </c>
      <c r="AQ368" t="s">
        <v>74</v>
      </c>
      <c r="AR368" t="s">
        <v>1070</v>
      </c>
      <c r="AS368" t="s">
        <v>1071</v>
      </c>
      <c r="AT368" t="s">
        <v>5640</v>
      </c>
      <c r="AU368">
        <v>2005</v>
      </c>
      <c r="AV368">
        <v>17</v>
      </c>
      <c r="AW368">
        <v>1</v>
      </c>
      <c r="AX368" t="s">
        <v>74</v>
      </c>
      <c r="AY368" t="s">
        <v>74</v>
      </c>
      <c r="AZ368" t="s">
        <v>74</v>
      </c>
      <c r="BA368" t="s">
        <v>74</v>
      </c>
      <c r="BB368">
        <v>67</v>
      </c>
      <c r="BC368">
        <v>68</v>
      </c>
      <c r="BD368" t="s">
        <v>74</v>
      </c>
      <c r="BE368" t="s">
        <v>5731</v>
      </c>
      <c r="BF368" t="str">
        <f>HYPERLINK("http://dx.doi.org/10.1017/S0954102005002439","http://dx.doi.org/10.1017/S0954102005002439")</f>
        <v>http://dx.doi.org/10.1017/S0954102005002439</v>
      </c>
      <c r="BG368" t="s">
        <v>74</v>
      </c>
      <c r="BH368" t="s">
        <v>74</v>
      </c>
      <c r="BI368">
        <v>2</v>
      </c>
      <c r="BJ368" t="s">
        <v>1074</v>
      </c>
      <c r="BK368" t="s">
        <v>95</v>
      </c>
      <c r="BL368" t="s">
        <v>1075</v>
      </c>
      <c r="BM368" t="s">
        <v>5648</v>
      </c>
      <c r="BN368" t="s">
        <v>74</v>
      </c>
      <c r="BO368" t="s">
        <v>74</v>
      </c>
      <c r="BP368" t="s">
        <v>74</v>
      </c>
      <c r="BQ368" t="s">
        <v>74</v>
      </c>
      <c r="BR368" t="s">
        <v>97</v>
      </c>
      <c r="BS368" t="s">
        <v>5732</v>
      </c>
      <c r="BT368" t="str">
        <f>HYPERLINK("https%3A%2F%2Fwww.webofscience.com%2Fwos%2Fwoscc%2Ffull-record%2FWOS:000228018700009","View Full Record in Web of Science")</f>
        <v>View Full Record in Web of Science</v>
      </c>
    </row>
    <row r="369" spans="1:72" x14ac:dyDescent="0.15">
      <c r="A369" t="s">
        <v>72</v>
      </c>
      <c r="B369" t="s">
        <v>5733</v>
      </c>
      <c r="C369" t="s">
        <v>74</v>
      </c>
      <c r="D369" t="s">
        <v>74</v>
      </c>
      <c r="E369" t="s">
        <v>74</v>
      </c>
      <c r="F369" t="s">
        <v>5733</v>
      </c>
      <c r="G369" t="s">
        <v>74</v>
      </c>
      <c r="H369" t="s">
        <v>74</v>
      </c>
      <c r="I369" t="s">
        <v>5734</v>
      </c>
      <c r="J369" t="s">
        <v>1067</v>
      </c>
      <c r="K369" t="s">
        <v>74</v>
      </c>
      <c r="L369" t="s">
        <v>74</v>
      </c>
      <c r="M369" t="s">
        <v>77</v>
      </c>
      <c r="N369" t="s">
        <v>78</v>
      </c>
      <c r="O369" t="s">
        <v>74</v>
      </c>
      <c r="P369" t="s">
        <v>74</v>
      </c>
      <c r="Q369" t="s">
        <v>74</v>
      </c>
      <c r="R369" t="s">
        <v>74</v>
      </c>
      <c r="S369" t="s">
        <v>74</v>
      </c>
      <c r="T369" t="s">
        <v>74</v>
      </c>
      <c r="U369" t="s">
        <v>74</v>
      </c>
      <c r="V369" t="s">
        <v>74</v>
      </c>
      <c r="W369" t="s">
        <v>5735</v>
      </c>
      <c r="X369" t="s">
        <v>5736</v>
      </c>
      <c r="Y369" t="s">
        <v>5737</v>
      </c>
      <c r="Z369" t="s">
        <v>5738</v>
      </c>
      <c r="AA369" t="s">
        <v>74</v>
      </c>
      <c r="AB369" t="s">
        <v>5739</v>
      </c>
      <c r="AC369" t="s">
        <v>74</v>
      </c>
      <c r="AD369" t="s">
        <v>74</v>
      </c>
      <c r="AE369" t="s">
        <v>74</v>
      </c>
      <c r="AF369" t="s">
        <v>74</v>
      </c>
      <c r="AG369">
        <v>6</v>
      </c>
      <c r="AH369">
        <v>7</v>
      </c>
      <c r="AI369">
        <v>9</v>
      </c>
      <c r="AJ369">
        <v>0</v>
      </c>
      <c r="AK369">
        <v>4</v>
      </c>
      <c r="AL369" t="s">
        <v>212</v>
      </c>
      <c r="AM369" t="s">
        <v>134</v>
      </c>
      <c r="AN369" t="s">
        <v>236</v>
      </c>
      <c r="AO369" t="s">
        <v>1069</v>
      </c>
      <c r="AP369" t="s">
        <v>74</v>
      </c>
      <c r="AQ369" t="s">
        <v>74</v>
      </c>
      <c r="AR369" t="s">
        <v>1070</v>
      </c>
      <c r="AS369" t="s">
        <v>1071</v>
      </c>
      <c r="AT369" t="s">
        <v>5640</v>
      </c>
      <c r="AU369">
        <v>2005</v>
      </c>
      <c r="AV369">
        <v>17</v>
      </c>
      <c r="AW369">
        <v>1</v>
      </c>
      <c r="AX369" t="s">
        <v>74</v>
      </c>
      <c r="AY369" t="s">
        <v>74</v>
      </c>
      <c r="AZ369" t="s">
        <v>74</v>
      </c>
      <c r="BA369" t="s">
        <v>74</v>
      </c>
      <c r="BB369">
        <v>69</v>
      </c>
      <c r="BC369">
        <v>70</v>
      </c>
      <c r="BD369" t="s">
        <v>74</v>
      </c>
      <c r="BE369" t="s">
        <v>5740</v>
      </c>
      <c r="BF369" t="str">
        <f>HYPERLINK("http://dx.doi.org/10.1017/S0954102005002440","http://dx.doi.org/10.1017/S0954102005002440")</f>
        <v>http://dx.doi.org/10.1017/S0954102005002440</v>
      </c>
      <c r="BG369" t="s">
        <v>74</v>
      </c>
      <c r="BH369" t="s">
        <v>74</v>
      </c>
      <c r="BI369">
        <v>2</v>
      </c>
      <c r="BJ369" t="s">
        <v>1074</v>
      </c>
      <c r="BK369" t="s">
        <v>95</v>
      </c>
      <c r="BL369" t="s">
        <v>1075</v>
      </c>
      <c r="BM369" t="s">
        <v>5648</v>
      </c>
      <c r="BN369" t="s">
        <v>74</v>
      </c>
      <c r="BO369" t="s">
        <v>74</v>
      </c>
      <c r="BP369" t="s">
        <v>74</v>
      </c>
      <c r="BQ369" t="s">
        <v>74</v>
      </c>
      <c r="BR369" t="s">
        <v>97</v>
      </c>
      <c r="BS369" t="s">
        <v>5741</v>
      </c>
      <c r="BT369" t="str">
        <f>HYPERLINK("https%3A%2F%2Fwww.webofscience.com%2Fwos%2Fwoscc%2Ffull-record%2FWOS:000228018700010","View Full Record in Web of Science")</f>
        <v>View Full Record in Web of Science</v>
      </c>
    </row>
    <row r="370" spans="1:72" x14ac:dyDescent="0.15">
      <c r="A370" t="s">
        <v>72</v>
      </c>
      <c r="B370" t="s">
        <v>5742</v>
      </c>
      <c r="C370" t="s">
        <v>74</v>
      </c>
      <c r="D370" t="s">
        <v>74</v>
      </c>
      <c r="E370" t="s">
        <v>74</v>
      </c>
      <c r="F370" t="s">
        <v>5742</v>
      </c>
      <c r="G370" t="s">
        <v>74</v>
      </c>
      <c r="H370" t="s">
        <v>74</v>
      </c>
      <c r="I370" t="s">
        <v>5743</v>
      </c>
      <c r="J370" t="s">
        <v>1067</v>
      </c>
      <c r="K370" t="s">
        <v>74</v>
      </c>
      <c r="L370" t="s">
        <v>74</v>
      </c>
      <c r="M370" t="s">
        <v>77</v>
      </c>
      <c r="N370" t="s">
        <v>78</v>
      </c>
      <c r="O370" t="s">
        <v>74</v>
      </c>
      <c r="P370" t="s">
        <v>74</v>
      </c>
      <c r="Q370" t="s">
        <v>74</v>
      </c>
      <c r="R370" t="s">
        <v>74</v>
      </c>
      <c r="S370" t="s">
        <v>74</v>
      </c>
      <c r="T370" t="s">
        <v>74</v>
      </c>
      <c r="U370" t="s">
        <v>5744</v>
      </c>
      <c r="V370" t="s">
        <v>74</v>
      </c>
      <c r="W370" t="s">
        <v>5745</v>
      </c>
      <c r="X370" t="s">
        <v>5746</v>
      </c>
      <c r="Y370" t="s">
        <v>5747</v>
      </c>
      <c r="Z370" t="s">
        <v>5748</v>
      </c>
      <c r="AA370" t="s">
        <v>74</v>
      </c>
      <c r="AB370" t="s">
        <v>5749</v>
      </c>
      <c r="AC370" t="s">
        <v>74</v>
      </c>
      <c r="AD370" t="s">
        <v>74</v>
      </c>
      <c r="AE370" t="s">
        <v>74</v>
      </c>
      <c r="AF370" t="s">
        <v>74</v>
      </c>
      <c r="AG370">
        <v>9</v>
      </c>
      <c r="AH370">
        <v>14</v>
      </c>
      <c r="AI370">
        <v>17</v>
      </c>
      <c r="AJ370">
        <v>0</v>
      </c>
      <c r="AK370">
        <v>4</v>
      </c>
      <c r="AL370" t="s">
        <v>212</v>
      </c>
      <c r="AM370" t="s">
        <v>134</v>
      </c>
      <c r="AN370" t="s">
        <v>236</v>
      </c>
      <c r="AO370" t="s">
        <v>1069</v>
      </c>
      <c r="AP370" t="s">
        <v>74</v>
      </c>
      <c r="AQ370" t="s">
        <v>74</v>
      </c>
      <c r="AR370" t="s">
        <v>1070</v>
      </c>
      <c r="AS370" t="s">
        <v>1071</v>
      </c>
      <c r="AT370" t="s">
        <v>5640</v>
      </c>
      <c r="AU370">
        <v>2005</v>
      </c>
      <c r="AV370">
        <v>17</v>
      </c>
      <c r="AW370">
        <v>1</v>
      </c>
      <c r="AX370" t="s">
        <v>74</v>
      </c>
      <c r="AY370" t="s">
        <v>74</v>
      </c>
      <c r="AZ370" t="s">
        <v>74</v>
      </c>
      <c r="BA370" t="s">
        <v>74</v>
      </c>
      <c r="BB370">
        <v>71</v>
      </c>
      <c r="BC370">
        <v>72</v>
      </c>
      <c r="BD370" t="s">
        <v>74</v>
      </c>
      <c r="BE370" t="s">
        <v>5750</v>
      </c>
      <c r="BF370" t="str">
        <f>HYPERLINK("http://dx.doi.org/10.1017/S0954102005002452","http://dx.doi.org/10.1017/S0954102005002452")</f>
        <v>http://dx.doi.org/10.1017/S0954102005002452</v>
      </c>
      <c r="BG370" t="s">
        <v>74</v>
      </c>
      <c r="BH370" t="s">
        <v>74</v>
      </c>
      <c r="BI370">
        <v>2</v>
      </c>
      <c r="BJ370" t="s">
        <v>1074</v>
      </c>
      <c r="BK370" t="s">
        <v>95</v>
      </c>
      <c r="BL370" t="s">
        <v>1075</v>
      </c>
      <c r="BM370" t="s">
        <v>5648</v>
      </c>
      <c r="BN370" t="s">
        <v>74</v>
      </c>
      <c r="BO370" t="s">
        <v>74</v>
      </c>
      <c r="BP370" t="s">
        <v>74</v>
      </c>
      <c r="BQ370" t="s">
        <v>74</v>
      </c>
      <c r="BR370" t="s">
        <v>97</v>
      </c>
      <c r="BS370" t="s">
        <v>5751</v>
      </c>
      <c r="BT370" t="str">
        <f>HYPERLINK("https%3A%2F%2Fwww.webofscience.com%2Fwos%2Fwoscc%2Ffull-record%2FWOS:000228018700011","View Full Record in Web of Science")</f>
        <v>View Full Record in Web of Science</v>
      </c>
    </row>
    <row r="371" spans="1:72" x14ac:dyDescent="0.15">
      <c r="A371" t="s">
        <v>72</v>
      </c>
      <c r="B371" t="s">
        <v>5752</v>
      </c>
      <c r="C371" t="s">
        <v>74</v>
      </c>
      <c r="D371" t="s">
        <v>74</v>
      </c>
      <c r="E371" t="s">
        <v>74</v>
      </c>
      <c r="F371" t="s">
        <v>5752</v>
      </c>
      <c r="G371" t="s">
        <v>74</v>
      </c>
      <c r="H371" t="s">
        <v>74</v>
      </c>
      <c r="I371" t="s">
        <v>5753</v>
      </c>
      <c r="J371" t="s">
        <v>1067</v>
      </c>
      <c r="K371" t="s">
        <v>74</v>
      </c>
      <c r="L371" t="s">
        <v>74</v>
      </c>
      <c r="M371" t="s">
        <v>77</v>
      </c>
      <c r="N371" t="s">
        <v>78</v>
      </c>
      <c r="O371" t="s">
        <v>74</v>
      </c>
      <c r="P371" t="s">
        <v>74</v>
      </c>
      <c r="Q371" t="s">
        <v>74</v>
      </c>
      <c r="R371" t="s">
        <v>74</v>
      </c>
      <c r="S371" t="s">
        <v>74</v>
      </c>
      <c r="T371" t="s">
        <v>5754</v>
      </c>
      <c r="U371" t="s">
        <v>5755</v>
      </c>
      <c r="V371" t="s">
        <v>5756</v>
      </c>
      <c r="W371" t="s">
        <v>5757</v>
      </c>
      <c r="X371" t="s">
        <v>5758</v>
      </c>
      <c r="Y371" t="s">
        <v>5759</v>
      </c>
      <c r="Z371" t="s">
        <v>5760</v>
      </c>
      <c r="AA371" t="s">
        <v>5761</v>
      </c>
      <c r="AB371" t="s">
        <v>5762</v>
      </c>
      <c r="AC371" t="s">
        <v>74</v>
      </c>
      <c r="AD371" t="s">
        <v>74</v>
      </c>
      <c r="AE371" t="s">
        <v>74</v>
      </c>
      <c r="AF371" t="s">
        <v>74</v>
      </c>
      <c r="AG371">
        <v>72</v>
      </c>
      <c r="AH371">
        <v>20</v>
      </c>
      <c r="AI371">
        <v>21</v>
      </c>
      <c r="AJ371">
        <v>1</v>
      </c>
      <c r="AK371">
        <v>5</v>
      </c>
      <c r="AL371" t="s">
        <v>212</v>
      </c>
      <c r="AM371" t="s">
        <v>134</v>
      </c>
      <c r="AN371" t="s">
        <v>236</v>
      </c>
      <c r="AO371" t="s">
        <v>1069</v>
      </c>
      <c r="AP371" t="s">
        <v>74</v>
      </c>
      <c r="AQ371" t="s">
        <v>74</v>
      </c>
      <c r="AR371" t="s">
        <v>1070</v>
      </c>
      <c r="AS371" t="s">
        <v>1071</v>
      </c>
      <c r="AT371" t="s">
        <v>5640</v>
      </c>
      <c r="AU371">
        <v>2005</v>
      </c>
      <c r="AV371">
        <v>17</v>
      </c>
      <c r="AW371">
        <v>1</v>
      </c>
      <c r="AX371" t="s">
        <v>74</v>
      </c>
      <c r="AY371" t="s">
        <v>74</v>
      </c>
      <c r="AZ371" t="s">
        <v>74</v>
      </c>
      <c r="BA371" t="s">
        <v>74</v>
      </c>
      <c r="BB371">
        <v>73</v>
      </c>
      <c r="BC371">
        <v>86</v>
      </c>
      <c r="BD371" t="s">
        <v>74</v>
      </c>
      <c r="BE371" t="s">
        <v>5763</v>
      </c>
      <c r="BF371" t="str">
        <f>HYPERLINK("http://dx.doi.org/10.1017/S0954102005002464","http://dx.doi.org/10.1017/S0954102005002464")</f>
        <v>http://dx.doi.org/10.1017/S0954102005002464</v>
      </c>
      <c r="BG371" t="s">
        <v>74</v>
      </c>
      <c r="BH371" t="s">
        <v>74</v>
      </c>
      <c r="BI371">
        <v>14</v>
      </c>
      <c r="BJ371" t="s">
        <v>1074</v>
      </c>
      <c r="BK371" t="s">
        <v>95</v>
      </c>
      <c r="BL371" t="s">
        <v>1075</v>
      </c>
      <c r="BM371" t="s">
        <v>5648</v>
      </c>
      <c r="BN371" t="s">
        <v>74</v>
      </c>
      <c r="BO371" t="s">
        <v>143</v>
      </c>
      <c r="BP371" t="s">
        <v>74</v>
      </c>
      <c r="BQ371" t="s">
        <v>74</v>
      </c>
      <c r="BR371" t="s">
        <v>97</v>
      </c>
      <c r="BS371" t="s">
        <v>5764</v>
      </c>
      <c r="BT371" t="str">
        <f>HYPERLINK("https%3A%2F%2Fwww.webofscience.com%2Fwos%2Fwoscc%2Ffull-record%2FWOS:000228018700012","View Full Record in Web of Science")</f>
        <v>View Full Record in Web of Science</v>
      </c>
    </row>
    <row r="372" spans="1:72" x14ac:dyDescent="0.15">
      <c r="A372" t="s">
        <v>72</v>
      </c>
      <c r="B372" t="s">
        <v>5765</v>
      </c>
      <c r="C372" t="s">
        <v>74</v>
      </c>
      <c r="D372" t="s">
        <v>74</v>
      </c>
      <c r="E372" t="s">
        <v>74</v>
      </c>
      <c r="F372" t="s">
        <v>5765</v>
      </c>
      <c r="G372" t="s">
        <v>74</v>
      </c>
      <c r="H372" t="s">
        <v>74</v>
      </c>
      <c r="I372" t="s">
        <v>5766</v>
      </c>
      <c r="J372" t="s">
        <v>1067</v>
      </c>
      <c r="K372" t="s">
        <v>74</v>
      </c>
      <c r="L372" t="s">
        <v>74</v>
      </c>
      <c r="M372" t="s">
        <v>77</v>
      </c>
      <c r="N372" t="s">
        <v>78</v>
      </c>
      <c r="O372" t="s">
        <v>74</v>
      </c>
      <c r="P372" t="s">
        <v>74</v>
      </c>
      <c r="Q372" t="s">
        <v>74</v>
      </c>
      <c r="R372" t="s">
        <v>74</v>
      </c>
      <c r="S372" t="s">
        <v>74</v>
      </c>
      <c r="T372" t="s">
        <v>5767</v>
      </c>
      <c r="U372" t="s">
        <v>5768</v>
      </c>
      <c r="V372" t="s">
        <v>5769</v>
      </c>
      <c r="W372" t="s">
        <v>5770</v>
      </c>
      <c r="X372" t="s">
        <v>5771</v>
      </c>
      <c r="Y372" t="s">
        <v>5772</v>
      </c>
      <c r="Z372" t="s">
        <v>5773</v>
      </c>
      <c r="AA372" t="s">
        <v>5761</v>
      </c>
      <c r="AB372" t="s">
        <v>5762</v>
      </c>
      <c r="AC372" t="s">
        <v>74</v>
      </c>
      <c r="AD372" t="s">
        <v>74</v>
      </c>
      <c r="AE372" t="s">
        <v>74</v>
      </c>
      <c r="AF372" t="s">
        <v>74</v>
      </c>
      <c r="AG372">
        <v>34</v>
      </c>
      <c r="AH372">
        <v>9</v>
      </c>
      <c r="AI372">
        <v>9</v>
      </c>
      <c r="AJ372">
        <v>0</v>
      </c>
      <c r="AK372">
        <v>1</v>
      </c>
      <c r="AL372" t="s">
        <v>212</v>
      </c>
      <c r="AM372" t="s">
        <v>134</v>
      </c>
      <c r="AN372" t="s">
        <v>236</v>
      </c>
      <c r="AO372" t="s">
        <v>1069</v>
      </c>
      <c r="AP372" t="s">
        <v>74</v>
      </c>
      <c r="AQ372" t="s">
        <v>74</v>
      </c>
      <c r="AR372" t="s">
        <v>1070</v>
      </c>
      <c r="AS372" t="s">
        <v>1071</v>
      </c>
      <c r="AT372" t="s">
        <v>5640</v>
      </c>
      <c r="AU372">
        <v>2005</v>
      </c>
      <c r="AV372">
        <v>17</v>
      </c>
      <c r="AW372">
        <v>1</v>
      </c>
      <c r="AX372" t="s">
        <v>74</v>
      </c>
      <c r="AY372" t="s">
        <v>74</v>
      </c>
      <c r="AZ372" t="s">
        <v>74</v>
      </c>
      <c r="BA372" t="s">
        <v>74</v>
      </c>
      <c r="BB372">
        <v>87</v>
      </c>
      <c r="BC372">
        <v>96</v>
      </c>
      <c r="BD372" t="s">
        <v>74</v>
      </c>
      <c r="BE372" t="s">
        <v>5774</v>
      </c>
      <c r="BF372" t="str">
        <f>HYPERLINK("http://dx.doi.org/10.1017/S0954102005002476","http://dx.doi.org/10.1017/S0954102005002476")</f>
        <v>http://dx.doi.org/10.1017/S0954102005002476</v>
      </c>
      <c r="BG372" t="s">
        <v>74</v>
      </c>
      <c r="BH372" t="s">
        <v>74</v>
      </c>
      <c r="BI372">
        <v>10</v>
      </c>
      <c r="BJ372" t="s">
        <v>1074</v>
      </c>
      <c r="BK372" t="s">
        <v>95</v>
      </c>
      <c r="BL372" t="s">
        <v>1075</v>
      </c>
      <c r="BM372" t="s">
        <v>5648</v>
      </c>
      <c r="BN372" t="s">
        <v>74</v>
      </c>
      <c r="BO372" t="s">
        <v>74</v>
      </c>
      <c r="BP372" t="s">
        <v>74</v>
      </c>
      <c r="BQ372" t="s">
        <v>74</v>
      </c>
      <c r="BR372" t="s">
        <v>97</v>
      </c>
      <c r="BS372" t="s">
        <v>5775</v>
      </c>
      <c r="BT372" t="str">
        <f>HYPERLINK("https%3A%2F%2Fwww.webofscience.com%2Fwos%2Fwoscc%2Ffull-record%2FWOS:000228018700013","View Full Record in Web of Science")</f>
        <v>View Full Record in Web of Science</v>
      </c>
    </row>
    <row r="373" spans="1:72" x14ac:dyDescent="0.15">
      <c r="A373" t="s">
        <v>72</v>
      </c>
      <c r="B373" t="s">
        <v>5776</v>
      </c>
      <c r="C373" t="s">
        <v>74</v>
      </c>
      <c r="D373" t="s">
        <v>74</v>
      </c>
      <c r="E373" t="s">
        <v>74</v>
      </c>
      <c r="F373" t="s">
        <v>5776</v>
      </c>
      <c r="G373" t="s">
        <v>74</v>
      </c>
      <c r="H373" t="s">
        <v>74</v>
      </c>
      <c r="I373" t="s">
        <v>5777</v>
      </c>
      <c r="J373" t="s">
        <v>1067</v>
      </c>
      <c r="K373" t="s">
        <v>74</v>
      </c>
      <c r="L373" t="s">
        <v>74</v>
      </c>
      <c r="M373" t="s">
        <v>77</v>
      </c>
      <c r="N373" t="s">
        <v>78</v>
      </c>
      <c r="O373" t="s">
        <v>74</v>
      </c>
      <c r="P373" t="s">
        <v>74</v>
      </c>
      <c r="Q373" t="s">
        <v>74</v>
      </c>
      <c r="R373" t="s">
        <v>74</v>
      </c>
      <c r="S373" t="s">
        <v>74</v>
      </c>
      <c r="T373" t="s">
        <v>5778</v>
      </c>
      <c r="U373" t="s">
        <v>5779</v>
      </c>
      <c r="V373" t="s">
        <v>5780</v>
      </c>
      <c r="W373" t="s">
        <v>5781</v>
      </c>
      <c r="X373" t="s">
        <v>5782</v>
      </c>
      <c r="Y373" t="s">
        <v>5783</v>
      </c>
      <c r="Z373" t="s">
        <v>5363</v>
      </c>
      <c r="AA373" t="s">
        <v>5784</v>
      </c>
      <c r="AB373" t="s">
        <v>5785</v>
      </c>
      <c r="AC373" t="s">
        <v>74</v>
      </c>
      <c r="AD373" t="s">
        <v>74</v>
      </c>
      <c r="AE373" t="s">
        <v>74</v>
      </c>
      <c r="AF373" t="s">
        <v>74</v>
      </c>
      <c r="AG373">
        <v>35</v>
      </c>
      <c r="AH373">
        <v>20</v>
      </c>
      <c r="AI373">
        <v>20</v>
      </c>
      <c r="AJ373">
        <v>0</v>
      </c>
      <c r="AK373">
        <v>3</v>
      </c>
      <c r="AL373" t="s">
        <v>212</v>
      </c>
      <c r="AM373" t="s">
        <v>134</v>
      </c>
      <c r="AN373" t="s">
        <v>213</v>
      </c>
      <c r="AO373" t="s">
        <v>1069</v>
      </c>
      <c r="AP373" t="s">
        <v>74</v>
      </c>
      <c r="AQ373" t="s">
        <v>74</v>
      </c>
      <c r="AR373" t="s">
        <v>1070</v>
      </c>
      <c r="AS373" t="s">
        <v>1071</v>
      </c>
      <c r="AT373" t="s">
        <v>5640</v>
      </c>
      <c r="AU373">
        <v>2005</v>
      </c>
      <c r="AV373">
        <v>17</v>
      </c>
      <c r="AW373">
        <v>1</v>
      </c>
      <c r="AX373" t="s">
        <v>74</v>
      </c>
      <c r="AY373" t="s">
        <v>74</v>
      </c>
      <c r="AZ373" t="s">
        <v>74</v>
      </c>
      <c r="BA373" t="s">
        <v>74</v>
      </c>
      <c r="BB373">
        <v>97</v>
      </c>
      <c r="BC373">
        <v>106</v>
      </c>
      <c r="BD373" t="s">
        <v>74</v>
      </c>
      <c r="BE373" t="s">
        <v>5786</v>
      </c>
      <c r="BF373" t="str">
        <f>HYPERLINK("http://dx.doi.org/10.1017/S0954102005002488","http://dx.doi.org/10.1017/S0954102005002488")</f>
        <v>http://dx.doi.org/10.1017/S0954102005002488</v>
      </c>
      <c r="BG373" t="s">
        <v>74</v>
      </c>
      <c r="BH373" t="s">
        <v>74</v>
      </c>
      <c r="BI373">
        <v>10</v>
      </c>
      <c r="BJ373" t="s">
        <v>1074</v>
      </c>
      <c r="BK373" t="s">
        <v>95</v>
      </c>
      <c r="BL373" t="s">
        <v>1075</v>
      </c>
      <c r="BM373" t="s">
        <v>5648</v>
      </c>
      <c r="BN373" t="s">
        <v>74</v>
      </c>
      <c r="BO373" t="s">
        <v>74</v>
      </c>
      <c r="BP373" t="s">
        <v>74</v>
      </c>
      <c r="BQ373" t="s">
        <v>74</v>
      </c>
      <c r="BR373" t="s">
        <v>97</v>
      </c>
      <c r="BS373" t="s">
        <v>5787</v>
      </c>
      <c r="BT373" t="str">
        <f>HYPERLINK("https%3A%2F%2Fwww.webofscience.com%2Fwos%2Fwoscc%2Ffull-record%2FWOS:000228018700014","View Full Record in Web of Science")</f>
        <v>View Full Record in Web of Science</v>
      </c>
    </row>
    <row r="374" spans="1:72" x14ac:dyDescent="0.15">
      <c r="A374" t="s">
        <v>72</v>
      </c>
      <c r="B374" t="s">
        <v>5788</v>
      </c>
      <c r="C374" t="s">
        <v>74</v>
      </c>
      <c r="D374" t="s">
        <v>74</v>
      </c>
      <c r="E374" t="s">
        <v>74</v>
      </c>
      <c r="F374" t="s">
        <v>5788</v>
      </c>
      <c r="G374" t="s">
        <v>74</v>
      </c>
      <c r="H374" t="s">
        <v>74</v>
      </c>
      <c r="I374" t="s">
        <v>5789</v>
      </c>
      <c r="J374" t="s">
        <v>1067</v>
      </c>
      <c r="K374" t="s">
        <v>74</v>
      </c>
      <c r="L374" t="s">
        <v>74</v>
      </c>
      <c r="M374" t="s">
        <v>77</v>
      </c>
      <c r="N374" t="s">
        <v>78</v>
      </c>
      <c r="O374" t="s">
        <v>74</v>
      </c>
      <c r="P374" t="s">
        <v>74</v>
      </c>
      <c r="Q374" t="s">
        <v>74</v>
      </c>
      <c r="R374" t="s">
        <v>74</v>
      </c>
      <c r="S374" t="s">
        <v>74</v>
      </c>
      <c r="T374" t="s">
        <v>5790</v>
      </c>
      <c r="U374" t="s">
        <v>5791</v>
      </c>
      <c r="V374" t="s">
        <v>5792</v>
      </c>
      <c r="W374" t="s">
        <v>5793</v>
      </c>
      <c r="X374" t="s">
        <v>5794</v>
      </c>
      <c r="Y374" t="s">
        <v>5795</v>
      </c>
      <c r="Z374" t="s">
        <v>5796</v>
      </c>
      <c r="AA374" t="s">
        <v>5797</v>
      </c>
      <c r="AB374" t="s">
        <v>74</v>
      </c>
      <c r="AC374" t="s">
        <v>74</v>
      </c>
      <c r="AD374" t="s">
        <v>74</v>
      </c>
      <c r="AE374" t="s">
        <v>74</v>
      </c>
      <c r="AF374" t="s">
        <v>74</v>
      </c>
      <c r="AG374">
        <v>33</v>
      </c>
      <c r="AH374">
        <v>27</v>
      </c>
      <c r="AI374">
        <v>30</v>
      </c>
      <c r="AJ374">
        <v>0</v>
      </c>
      <c r="AK374">
        <v>3</v>
      </c>
      <c r="AL374" t="s">
        <v>212</v>
      </c>
      <c r="AM374" t="s">
        <v>134</v>
      </c>
      <c r="AN374" t="s">
        <v>236</v>
      </c>
      <c r="AO374" t="s">
        <v>1069</v>
      </c>
      <c r="AP374" t="s">
        <v>1088</v>
      </c>
      <c r="AQ374" t="s">
        <v>74</v>
      </c>
      <c r="AR374" t="s">
        <v>1070</v>
      </c>
      <c r="AS374" t="s">
        <v>1071</v>
      </c>
      <c r="AT374" t="s">
        <v>5640</v>
      </c>
      <c r="AU374">
        <v>2005</v>
      </c>
      <c r="AV374">
        <v>17</v>
      </c>
      <c r="AW374">
        <v>1</v>
      </c>
      <c r="AX374" t="s">
        <v>74</v>
      </c>
      <c r="AY374" t="s">
        <v>74</v>
      </c>
      <c r="AZ374" t="s">
        <v>74</v>
      </c>
      <c r="BA374" t="s">
        <v>74</v>
      </c>
      <c r="BB374">
        <v>107</v>
      </c>
      <c r="BC374">
        <v>120</v>
      </c>
      <c r="BD374" t="s">
        <v>74</v>
      </c>
      <c r="BE374" t="s">
        <v>5798</v>
      </c>
      <c r="BF374" t="str">
        <f>HYPERLINK("http://dx.doi.org/10.1017/S0954102005002506","http://dx.doi.org/10.1017/S0954102005002506")</f>
        <v>http://dx.doi.org/10.1017/S0954102005002506</v>
      </c>
      <c r="BG374" t="s">
        <v>74</v>
      </c>
      <c r="BH374" t="s">
        <v>74</v>
      </c>
      <c r="BI374">
        <v>14</v>
      </c>
      <c r="BJ374" t="s">
        <v>1074</v>
      </c>
      <c r="BK374" t="s">
        <v>95</v>
      </c>
      <c r="BL374" t="s">
        <v>1075</v>
      </c>
      <c r="BM374" t="s">
        <v>5648</v>
      </c>
      <c r="BN374" t="s">
        <v>74</v>
      </c>
      <c r="BO374" t="s">
        <v>74</v>
      </c>
      <c r="BP374" t="s">
        <v>74</v>
      </c>
      <c r="BQ374" t="s">
        <v>74</v>
      </c>
      <c r="BR374" t="s">
        <v>97</v>
      </c>
      <c r="BS374" t="s">
        <v>5799</v>
      </c>
      <c r="BT374" t="str">
        <f>HYPERLINK("https%3A%2F%2Fwww.webofscience.com%2Fwos%2Fwoscc%2Ffull-record%2FWOS:000228018700015","View Full Record in Web of Science")</f>
        <v>View Full Record in Web of Science</v>
      </c>
    </row>
    <row r="375" spans="1:72" x14ac:dyDescent="0.15">
      <c r="A375" t="s">
        <v>72</v>
      </c>
      <c r="B375" t="s">
        <v>5800</v>
      </c>
      <c r="C375" t="s">
        <v>74</v>
      </c>
      <c r="D375" t="s">
        <v>74</v>
      </c>
      <c r="E375" t="s">
        <v>74</v>
      </c>
      <c r="F375" t="s">
        <v>5800</v>
      </c>
      <c r="G375" t="s">
        <v>74</v>
      </c>
      <c r="H375" t="s">
        <v>74</v>
      </c>
      <c r="I375" t="s">
        <v>5801</v>
      </c>
      <c r="J375" t="s">
        <v>1067</v>
      </c>
      <c r="K375" t="s">
        <v>74</v>
      </c>
      <c r="L375" t="s">
        <v>74</v>
      </c>
      <c r="M375" t="s">
        <v>77</v>
      </c>
      <c r="N375" t="s">
        <v>78</v>
      </c>
      <c r="O375" t="s">
        <v>74</v>
      </c>
      <c r="P375" t="s">
        <v>74</v>
      </c>
      <c r="Q375" t="s">
        <v>74</v>
      </c>
      <c r="R375" t="s">
        <v>74</v>
      </c>
      <c r="S375" t="s">
        <v>74</v>
      </c>
      <c r="T375" t="s">
        <v>5802</v>
      </c>
      <c r="U375" t="s">
        <v>5803</v>
      </c>
      <c r="V375" t="s">
        <v>5804</v>
      </c>
      <c r="W375" t="s">
        <v>5805</v>
      </c>
      <c r="X375" t="s">
        <v>467</v>
      </c>
      <c r="Y375" t="s">
        <v>5806</v>
      </c>
      <c r="Z375" t="s">
        <v>3169</v>
      </c>
      <c r="AA375" t="s">
        <v>5807</v>
      </c>
      <c r="AB375" t="s">
        <v>5808</v>
      </c>
      <c r="AC375" t="s">
        <v>74</v>
      </c>
      <c r="AD375" t="s">
        <v>74</v>
      </c>
      <c r="AE375" t="s">
        <v>74</v>
      </c>
      <c r="AF375" t="s">
        <v>74</v>
      </c>
      <c r="AG375">
        <v>36</v>
      </c>
      <c r="AH375">
        <v>33</v>
      </c>
      <c r="AI375">
        <v>37</v>
      </c>
      <c r="AJ375">
        <v>0</v>
      </c>
      <c r="AK375">
        <v>3</v>
      </c>
      <c r="AL375" t="s">
        <v>212</v>
      </c>
      <c r="AM375" t="s">
        <v>134</v>
      </c>
      <c r="AN375" t="s">
        <v>236</v>
      </c>
      <c r="AO375" t="s">
        <v>1069</v>
      </c>
      <c r="AP375" t="s">
        <v>1088</v>
      </c>
      <c r="AQ375" t="s">
        <v>74</v>
      </c>
      <c r="AR375" t="s">
        <v>1070</v>
      </c>
      <c r="AS375" t="s">
        <v>1071</v>
      </c>
      <c r="AT375" t="s">
        <v>5640</v>
      </c>
      <c r="AU375">
        <v>2005</v>
      </c>
      <c r="AV375">
        <v>17</v>
      </c>
      <c r="AW375">
        <v>1</v>
      </c>
      <c r="AX375" t="s">
        <v>74</v>
      </c>
      <c r="AY375" t="s">
        <v>74</v>
      </c>
      <c r="AZ375" t="s">
        <v>74</v>
      </c>
      <c r="BA375" t="s">
        <v>74</v>
      </c>
      <c r="BB375">
        <v>121</v>
      </c>
      <c r="BC375">
        <v>133</v>
      </c>
      <c r="BD375" t="s">
        <v>74</v>
      </c>
      <c r="BE375" t="s">
        <v>5809</v>
      </c>
      <c r="BF375" t="str">
        <f>HYPERLINK("http://dx.doi.org/10.1017/S095410200500252X","http://dx.doi.org/10.1017/S095410200500252X")</f>
        <v>http://dx.doi.org/10.1017/S095410200500252X</v>
      </c>
      <c r="BG375" t="s">
        <v>74</v>
      </c>
      <c r="BH375" t="s">
        <v>74</v>
      </c>
      <c r="BI375">
        <v>13</v>
      </c>
      <c r="BJ375" t="s">
        <v>1074</v>
      </c>
      <c r="BK375" t="s">
        <v>95</v>
      </c>
      <c r="BL375" t="s">
        <v>1075</v>
      </c>
      <c r="BM375" t="s">
        <v>5648</v>
      </c>
      <c r="BN375" t="s">
        <v>74</v>
      </c>
      <c r="BO375" t="s">
        <v>74</v>
      </c>
      <c r="BP375" t="s">
        <v>74</v>
      </c>
      <c r="BQ375" t="s">
        <v>74</v>
      </c>
      <c r="BR375" t="s">
        <v>97</v>
      </c>
      <c r="BS375" t="s">
        <v>5810</v>
      </c>
      <c r="BT375" t="str">
        <f>HYPERLINK("https%3A%2F%2Fwww.webofscience.com%2Fwos%2Fwoscc%2Ffull-record%2FWOS:000228018700016","View Full Record in Web of Science")</f>
        <v>View Full Record in Web of Science</v>
      </c>
    </row>
    <row r="376" spans="1:72" x14ac:dyDescent="0.15">
      <c r="A376" t="s">
        <v>72</v>
      </c>
      <c r="B376" t="s">
        <v>5811</v>
      </c>
      <c r="C376" t="s">
        <v>74</v>
      </c>
      <c r="D376" t="s">
        <v>74</v>
      </c>
      <c r="E376" t="s">
        <v>74</v>
      </c>
      <c r="F376" t="s">
        <v>5811</v>
      </c>
      <c r="G376" t="s">
        <v>74</v>
      </c>
      <c r="H376" t="s">
        <v>74</v>
      </c>
      <c r="I376" t="s">
        <v>5812</v>
      </c>
      <c r="J376" t="s">
        <v>1067</v>
      </c>
      <c r="K376" t="s">
        <v>74</v>
      </c>
      <c r="L376" t="s">
        <v>74</v>
      </c>
      <c r="M376" t="s">
        <v>77</v>
      </c>
      <c r="N376" t="s">
        <v>78</v>
      </c>
      <c r="O376" t="s">
        <v>74</v>
      </c>
      <c r="P376" t="s">
        <v>74</v>
      </c>
      <c r="Q376" t="s">
        <v>74</v>
      </c>
      <c r="R376" t="s">
        <v>74</v>
      </c>
      <c r="S376" t="s">
        <v>74</v>
      </c>
      <c r="T376" t="s">
        <v>5813</v>
      </c>
      <c r="U376" t="s">
        <v>5814</v>
      </c>
      <c r="V376" t="s">
        <v>5815</v>
      </c>
      <c r="W376" t="s">
        <v>5816</v>
      </c>
      <c r="X376" t="s">
        <v>5817</v>
      </c>
      <c r="Y376" t="s">
        <v>5818</v>
      </c>
      <c r="Z376" t="s">
        <v>5819</v>
      </c>
      <c r="AA376" t="s">
        <v>74</v>
      </c>
      <c r="AB376" t="s">
        <v>74</v>
      </c>
      <c r="AC376" t="s">
        <v>74</v>
      </c>
      <c r="AD376" t="s">
        <v>74</v>
      </c>
      <c r="AE376" t="s">
        <v>74</v>
      </c>
      <c r="AF376" t="s">
        <v>74</v>
      </c>
      <c r="AG376">
        <v>43</v>
      </c>
      <c r="AH376">
        <v>9</v>
      </c>
      <c r="AI376">
        <v>10</v>
      </c>
      <c r="AJ376">
        <v>0</v>
      </c>
      <c r="AK376">
        <v>5</v>
      </c>
      <c r="AL376" t="s">
        <v>212</v>
      </c>
      <c r="AM376" t="s">
        <v>134</v>
      </c>
      <c r="AN376" t="s">
        <v>236</v>
      </c>
      <c r="AO376" t="s">
        <v>1069</v>
      </c>
      <c r="AP376" t="s">
        <v>1088</v>
      </c>
      <c r="AQ376" t="s">
        <v>74</v>
      </c>
      <c r="AR376" t="s">
        <v>1070</v>
      </c>
      <c r="AS376" t="s">
        <v>1071</v>
      </c>
      <c r="AT376" t="s">
        <v>5640</v>
      </c>
      <c r="AU376">
        <v>2005</v>
      </c>
      <c r="AV376">
        <v>17</v>
      </c>
      <c r="AW376">
        <v>1</v>
      </c>
      <c r="AX376" t="s">
        <v>74</v>
      </c>
      <c r="AY376" t="s">
        <v>74</v>
      </c>
      <c r="AZ376" t="s">
        <v>74</v>
      </c>
      <c r="BA376" t="s">
        <v>74</v>
      </c>
      <c r="BB376">
        <v>135</v>
      </c>
      <c r="BC376">
        <v>149</v>
      </c>
      <c r="BD376" t="s">
        <v>74</v>
      </c>
      <c r="BE376" t="s">
        <v>5820</v>
      </c>
      <c r="BF376" t="str">
        <f>HYPERLINK("http://dx.doi.org/10.1017/S0954102005002518","http://dx.doi.org/10.1017/S0954102005002518")</f>
        <v>http://dx.doi.org/10.1017/S0954102005002518</v>
      </c>
      <c r="BG376" t="s">
        <v>74</v>
      </c>
      <c r="BH376" t="s">
        <v>74</v>
      </c>
      <c r="BI376">
        <v>15</v>
      </c>
      <c r="BJ376" t="s">
        <v>1074</v>
      </c>
      <c r="BK376" t="s">
        <v>95</v>
      </c>
      <c r="BL376" t="s">
        <v>1075</v>
      </c>
      <c r="BM376" t="s">
        <v>5648</v>
      </c>
      <c r="BN376" t="s">
        <v>74</v>
      </c>
      <c r="BO376" t="s">
        <v>143</v>
      </c>
      <c r="BP376" t="s">
        <v>74</v>
      </c>
      <c r="BQ376" t="s">
        <v>74</v>
      </c>
      <c r="BR376" t="s">
        <v>97</v>
      </c>
      <c r="BS376" t="s">
        <v>5821</v>
      </c>
      <c r="BT376" t="str">
        <f>HYPERLINK("https%3A%2F%2Fwww.webofscience.com%2Fwos%2Fwoscc%2Ffull-record%2FWOS:000228018700017","View Full Record in Web of Science")</f>
        <v>View Full Record in Web of Science</v>
      </c>
    </row>
    <row r="377" spans="1:72" x14ac:dyDescent="0.15">
      <c r="A377" t="s">
        <v>72</v>
      </c>
      <c r="B377" t="s">
        <v>5822</v>
      </c>
      <c r="C377" t="s">
        <v>74</v>
      </c>
      <c r="D377" t="s">
        <v>74</v>
      </c>
      <c r="E377" t="s">
        <v>74</v>
      </c>
      <c r="F377" t="s">
        <v>5822</v>
      </c>
      <c r="G377" t="s">
        <v>74</v>
      </c>
      <c r="H377" t="s">
        <v>74</v>
      </c>
      <c r="I377" t="s">
        <v>5823</v>
      </c>
      <c r="J377" t="s">
        <v>1067</v>
      </c>
      <c r="K377" t="s">
        <v>74</v>
      </c>
      <c r="L377" t="s">
        <v>74</v>
      </c>
      <c r="M377" t="s">
        <v>77</v>
      </c>
      <c r="N377" t="s">
        <v>78</v>
      </c>
      <c r="O377" t="s">
        <v>74</v>
      </c>
      <c r="P377" t="s">
        <v>74</v>
      </c>
      <c r="Q377" t="s">
        <v>74</v>
      </c>
      <c r="R377" t="s">
        <v>74</v>
      </c>
      <c r="S377" t="s">
        <v>74</v>
      </c>
      <c r="T377" t="s">
        <v>74</v>
      </c>
      <c r="U377" t="s">
        <v>74</v>
      </c>
      <c r="V377" t="s">
        <v>74</v>
      </c>
      <c r="W377" t="s">
        <v>5824</v>
      </c>
      <c r="X377" t="s">
        <v>5825</v>
      </c>
      <c r="Y377" t="s">
        <v>5826</v>
      </c>
      <c r="Z377" t="s">
        <v>5827</v>
      </c>
      <c r="AA377" t="s">
        <v>5828</v>
      </c>
      <c r="AB377" t="s">
        <v>5829</v>
      </c>
      <c r="AC377" t="s">
        <v>74</v>
      </c>
      <c r="AD377" t="s">
        <v>74</v>
      </c>
      <c r="AE377" t="s">
        <v>74</v>
      </c>
      <c r="AF377" t="s">
        <v>74</v>
      </c>
      <c r="AG377">
        <v>5</v>
      </c>
      <c r="AH377">
        <v>4</v>
      </c>
      <c r="AI377">
        <v>4</v>
      </c>
      <c r="AJ377">
        <v>0</v>
      </c>
      <c r="AK377">
        <v>4</v>
      </c>
      <c r="AL377" t="s">
        <v>212</v>
      </c>
      <c r="AM377" t="s">
        <v>134</v>
      </c>
      <c r="AN377" t="s">
        <v>213</v>
      </c>
      <c r="AO377" t="s">
        <v>1069</v>
      </c>
      <c r="AP377" t="s">
        <v>74</v>
      </c>
      <c r="AQ377" t="s">
        <v>74</v>
      </c>
      <c r="AR377" t="s">
        <v>1070</v>
      </c>
      <c r="AS377" t="s">
        <v>1071</v>
      </c>
      <c r="AT377" t="s">
        <v>5640</v>
      </c>
      <c r="AU377">
        <v>2005</v>
      </c>
      <c r="AV377">
        <v>17</v>
      </c>
      <c r="AW377">
        <v>1</v>
      </c>
      <c r="AX377" t="s">
        <v>74</v>
      </c>
      <c r="AY377" t="s">
        <v>74</v>
      </c>
      <c r="AZ377" t="s">
        <v>74</v>
      </c>
      <c r="BA377" t="s">
        <v>74</v>
      </c>
      <c r="BB377">
        <v>151</v>
      </c>
      <c r="BC377">
        <v>152</v>
      </c>
      <c r="BD377" t="s">
        <v>74</v>
      </c>
      <c r="BE377" t="s">
        <v>5830</v>
      </c>
      <c r="BF377" t="str">
        <f>HYPERLINK("http://dx.doi.org/10.1017/S095410200500249X","http://dx.doi.org/10.1017/S095410200500249X")</f>
        <v>http://dx.doi.org/10.1017/S095410200500249X</v>
      </c>
      <c r="BG377" t="s">
        <v>74</v>
      </c>
      <c r="BH377" t="s">
        <v>74</v>
      </c>
      <c r="BI377">
        <v>2</v>
      </c>
      <c r="BJ377" t="s">
        <v>1074</v>
      </c>
      <c r="BK377" t="s">
        <v>95</v>
      </c>
      <c r="BL377" t="s">
        <v>1075</v>
      </c>
      <c r="BM377" t="s">
        <v>5648</v>
      </c>
      <c r="BN377" t="s">
        <v>74</v>
      </c>
      <c r="BO377" t="s">
        <v>74</v>
      </c>
      <c r="BP377" t="s">
        <v>74</v>
      </c>
      <c r="BQ377" t="s">
        <v>74</v>
      </c>
      <c r="BR377" t="s">
        <v>97</v>
      </c>
      <c r="BS377" t="s">
        <v>5831</v>
      </c>
      <c r="BT377" t="str">
        <f>HYPERLINK("https%3A%2F%2Fwww.webofscience.com%2Fwos%2Fwoscc%2Ffull-record%2FWOS:000228018700018","View Full Record in Web of Science")</f>
        <v>View Full Record in Web of Science</v>
      </c>
    </row>
    <row r="378" spans="1:72" x14ac:dyDescent="0.15">
      <c r="A378" t="s">
        <v>72</v>
      </c>
      <c r="B378" t="s">
        <v>5832</v>
      </c>
      <c r="C378" t="s">
        <v>74</v>
      </c>
      <c r="D378" t="s">
        <v>74</v>
      </c>
      <c r="E378" t="s">
        <v>74</v>
      </c>
      <c r="F378" t="s">
        <v>5832</v>
      </c>
      <c r="G378" t="s">
        <v>74</v>
      </c>
      <c r="H378" t="s">
        <v>74</v>
      </c>
      <c r="I378" t="s">
        <v>5833</v>
      </c>
      <c r="J378" t="s">
        <v>5834</v>
      </c>
      <c r="K378" t="s">
        <v>74</v>
      </c>
      <c r="L378" t="s">
        <v>74</v>
      </c>
      <c r="M378" t="s">
        <v>77</v>
      </c>
      <c r="N378" t="s">
        <v>78</v>
      </c>
      <c r="O378" t="s">
        <v>74</v>
      </c>
      <c r="P378" t="s">
        <v>74</v>
      </c>
      <c r="Q378" t="s">
        <v>74</v>
      </c>
      <c r="R378" t="s">
        <v>74</v>
      </c>
      <c r="S378" t="s">
        <v>74</v>
      </c>
      <c r="T378" t="s">
        <v>5835</v>
      </c>
      <c r="U378" t="s">
        <v>5836</v>
      </c>
      <c r="V378" t="s">
        <v>5837</v>
      </c>
      <c r="W378" t="s">
        <v>5838</v>
      </c>
      <c r="X378" t="s">
        <v>5839</v>
      </c>
      <c r="Y378" t="s">
        <v>5840</v>
      </c>
      <c r="Z378" t="s">
        <v>5841</v>
      </c>
      <c r="AA378" t="s">
        <v>74</v>
      </c>
      <c r="AB378" t="s">
        <v>74</v>
      </c>
      <c r="AC378" t="s">
        <v>74</v>
      </c>
      <c r="AD378" t="s">
        <v>74</v>
      </c>
      <c r="AE378" t="s">
        <v>74</v>
      </c>
      <c r="AF378" t="s">
        <v>74</v>
      </c>
      <c r="AG378">
        <v>40</v>
      </c>
      <c r="AH378">
        <v>50</v>
      </c>
      <c r="AI378">
        <v>73</v>
      </c>
      <c r="AJ378">
        <v>2</v>
      </c>
      <c r="AK378">
        <v>75</v>
      </c>
      <c r="AL378" t="s">
        <v>5842</v>
      </c>
      <c r="AM378" t="s">
        <v>5843</v>
      </c>
      <c r="AN378" t="s">
        <v>5844</v>
      </c>
      <c r="AO378" t="s">
        <v>5845</v>
      </c>
      <c r="AP378" t="s">
        <v>5846</v>
      </c>
      <c r="AQ378" t="s">
        <v>74</v>
      </c>
      <c r="AR378" t="s">
        <v>5847</v>
      </c>
      <c r="AS378" t="s">
        <v>5848</v>
      </c>
      <c r="AT378" t="s">
        <v>5640</v>
      </c>
      <c r="AU378">
        <v>2005</v>
      </c>
      <c r="AV378">
        <v>67</v>
      </c>
      <c r="AW378">
        <v>1</v>
      </c>
      <c r="AX378" t="s">
        <v>74</v>
      </c>
      <c r="AY378" t="s">
        <v>74</v>
      </c>
      <c r="AZ378" t="s">
        <v>74</v>
      </c>
      <c r="BA378" t="s">
        <v>74</v>
      </c>
      <c r="BB378">
        <v>61</v>
      </c>
      <c r="BC378">
        <v>71</v>
      </c>
      <c r="BD378" t="s">
        <v>74</v>
      </c>
      <c r="BE378" t="s">
        <v>5849</v>
      </c>
      <c r="BF378" t="str">
        <f>HYPERLINK("http://dx.doi.org/10.1007/s00027-004-0735-4","http://dx.doi.org/10.1007/s00027-004-0735-4")</f>
        <v>http://dx.doi.org/10.1007/s00027-004-0735-4</v>
      </c>
      <c r="BG378" t="s">
        <v>74</v>
      </c>
      <c r="BH378" t="s">
        <v>74</v>
      </c>
      <c r="BI378">
        <v>11</v>
      </c>
      <c r="BJ378" t="s">
        <v>5850</v>
      </c>
      <c r="BK378" t="s">
        <v>95</v>
      </c>
      <c r="BL378" t="s">
        <v>942</v>
      </c>
      <c r="BM378" t="s">
        <v>5851</v>
      </c>
      <c r="BN378" t="s">
        <v>74</v>
      </c>
      <c r="BO378" t="s">
        <v>74</v>
      </c>
      <c r="BP378" t="s">
        <v>74</v>
      </c>
      <c r="BQ378" t="s">
        <v>74</v>
      </c>
      <c r="BR378" t="s">
        <v>97</v>
      </c>
      <c r="BS378" t="s">
        <v>5852</v>
      </c>
      <c r="BT378" t="str">
        <f>HYPERLINK("https%3A%2F%2Fwww.webofscience.com%2Fwos%2Fwoscc%2Ffull-record%2FWOS:000227277300008","View Full Record in Web of Science")</f>
        <v>View Full Record in Web of Science</v>
      </c>
    </row>
    <row r="379" spans="1:72" x14ac:dyDescent="0.15">
      <c r="A379" t="s">
        <v>72</v>
      </c>
      <c r="B379" t="s">
        <v>5853</v>
      </c>
      <c r="C379" t="s">
        <v>74</v>
      </c>
      <c r="D379" t="s">
        <v>74</v>
      </c>
      <c r="E379" t="s">
        <v>74</v>
      </c>
      <c r="F379" t="s">
        <v>5853</v>
      </c>
      <c r="G379" t="s">
        <v>74</v>
      </c>
      <c r="H379" t="s">
        <v>74</v>
      </c>
      <c r="I379" t="s">
        <v>5854</v>
      </c>
      <c r="J379" t="s">
        <v>5855</v>
      </c>
      <c r="K379" t="s">
        <v>74</v>
      </c>
      <c r="L379" t="s">
        <v>74</v>
      </c>
      <c r="M379" t="s">
        <v>77</v>
      </c>
      <c r="N379" t="s">
        <v>78</v>
      </c>
      <c r="O379" t="s">
        <v>74</v>
      </c>
      <c r="P379" t="s">
        <v>74</v>
      </c>
      <c r="Q379" t="s">
        <v>74</v>
      </c>
      <c r="R379" t="s">
        <v>74</v>
      </c>
      <c r="S379" t="s">
        <v>74</v>
      </c>
      <c r="T379" t="s">
        <v>5856</v>
      </c>
      <c r="U379" t="s">
        <v>5857</v>
      </c>
      <c r="V379" t="s">
        <v>5858</v>
      </c>
      <c r="W379" t="s">
        <v>5859</v>
      </c>
      <c r="X379" t="s">
        <v>5860</v>
      </c>
      <c r="Y379" t="s">
        <v>5861</v>
      </c>
      <c r="Z379" t="s">
        <v>5862</v>
      </c>
      <c r="AA379" t="s">
        <v>74</v>
      </c>
      <c r="AB379" t="s">
        <v>74</v>
      </c>
      <c r="AC379" t="s">
        <v>74</v>
      </c>
      <c r="AD379" t="s">
        <v>74</v>
      </c>
      <c r="AE379" t="s">
        <v>74</v>
      </c>
      <c r="AF379" t="s">
        <v>74</v>
      </c>
      <c r="AG379">
        <v>43</v>
      </c>
      <c r="AH379">
        <v>29</v>
      </c>
      <c r="AI379">
        <v>29</v>
      </c>
      <c r="AJ379">
        <v>0</v>
      </c>
      <c r="AK379">
        <v>1</v>
      </c>
      <c r="AL379" t="s">
        <v>5863</v>
      </c>
      <c r="AM379" t="s">
        <v>5864</v>
      </c>
      <c r="AN379" t="s">
        <v>5865</v>
      </c>
      <c r="AO379" t="s">
        <v>5866</v>
      </c>
      <c r="AP379" t="s">
        <v>74</v>
      </c>
      <c r="AQ379" t="s">
        <v>74</v>
      </c>
      <c r="AR379" t="s">
        <v>5867</v>
      </c>
      <c r="AS379" t="s">
        <v>5868</v>
      </c>
      <c r="AT379" t="s">
        <v>5640</v>
      </c>
      <c r="AU379">
        <v>2005</v>
      </c>
      <c r="AV379">
        <v>432</v>
      </c>
      <c r="AW379">
        <v>3</v>
      </c>
      <c r="AX379" t="s">
        <v>74</v>
      </c>
      <c r="AY379" t="s">
        <v>74</v>
      </c>
      <c r="AZ379" t="s">
        <v>74</v>
      </c>
      <c r="BA379" t="s">
        <v>74</v>
      </c>
      <c r="BB379">
        <v>1091</v>
      </c>
      <c r="BC379">
        <v>1100</v>
      </c>
      <c r="BD379" t="s">
        <v>74</v>
      </c>
      <c r="BE379" t="s">
        <v>5869</v>
      </c>
      <c r="BF379" t="str">
        <f>HYPERLINK("http://dx.doi.org/10.1051/0004-6361:20040417","http://dx.doi.org/10.1051/0004-6361:20040417")</f>
        <v>http://dx.doi.org/10.1051/0004-6361:20040417</v>
      </c>
      <c r="BG379" t="s">
        <v>74</v>
      </c>
      <c r="BH379" t="s">
        <v>74</v>
      </c>
      <c r="BI379">
        <v>10</v>
      </c>
      <c r="BJ379" t="s">
        <v>853</v>
      </c>
      <c r="BK379" t="s">
        <v>95</v>
      </c>
      <c r="BL379" t="s">
        <v>853</v>
      </c>
      <c r="BM379" t="s">
        <v>5870</v>
      </c>
      <c r="BN379" t="s">
        <v>74</v>
      </c>
      <c r="BO379" t="s">
        <v>3093</v>
      </c>
      <c r="BP379" t="s">
        <v>74</v>
      </c>
      <c r="BQ379" t="s">
        <v>74</v>
      </c>
      <c r="BR379" t="s">
        <v>97</v>
      </c>
      <c r="BS379" t="s">
        <v>5871</v>
      </c>
      <c r="BT379" t="str">
        <f>HYPERLINK("https%3A%2F%2Fwww.webofscience.com%2Fwos%2Fwoscc%2Ffull-record%2FWOS:000227494400030","View Full Record in Web of Science")</f>
        <v>View Full Record in Web of Science</v>
      </c>
    </row>
    <row r="380" spans="1:72" x14ac:dyDescent="0.15">
      <c r="A380" t="s">
        <v>72</v>
      </c>
      <c r="B380" t="s">
        <v>5872</v>
      </c>
      <c r="C380" t="s">
        <v>74</v>
      </c>
      <c r="D380" t="s">
        <v>74</v>
      </c>
      <c r="E380" t="s">
        <v>74</v>
      </c>
      <c r="F380" t="s">
        <v>5872</v>
      </c>
      <c r="G380" t="s">
        <v>74</v>
      </c>
      <c r="H380" t="s">
        <v>74</v>
      </c>
      <c r="I380" t="s">
        <v>5873</v>
      </c>
      <c r="J380" t="s">
        <v>3124</v>
      </c>
      <c r="K380" t="s">
        <v>74</v>
      </c>
      <c r="L380" t="s">
        <v>74</v>
      </c>
      <c r="M380" t="s">
        <v>77</v>
      </c>
      <c r="N380" t="s">
        <v>78</v>
      </c>
      <c r="O380" t="s">
        <v>74</v>
      </c>
      <c r="P380" t="s">
        <v>74</v>
      </c>
      <c r="Q380" t="s">
        <v>74</v>
      </c>
      <c r="R380" t="s">
        <v>74</v>
      </c>
      <c r="S380" t="s">
        <v>74</v>
      </c>
      <c r="T380" t="s">
        <v>5874</v>
      </c>
      <c r="U380" t="s">
        <v>5875</v>
      </c>
      <c r="V380" t="s">
        <v>5876</v>
      </c>
      <c r="W380" t="s">
        <v>5877</v>
      </c>
      <c r="X380" t="s">
        <v>5878</v>
      </c>
      <c r="Y380" t="s">
        <v>5879</v>
      </c>
      <c r="Z380" t="s">
        <v>5880</v>
      </c>
      <c r="AA380" t="s">
        <v>5881</v>
      </c>
      <c r="AB380" t="s">
        <v>5882</v>
      </c>
      <c r="AC380" t="s">
        <v>74</v>
      </c>
      <c r="AD380" t="s">
        <v>74</v>
      </c>
      <c r="AE380" t="s">
        <v>74</v>
      </c>
      <c r="AF380" t="s">
        <v>74</v>
      </c>
      <c r="AG380">
        <v>48</v>
      </c>
      <c r="AH380">
        <v>25</v>
      </c>
      <c r="AI380">
        <v>33</v>
      </c>
      <c r="AJ380">
        <v>1</v>
      </c>
      <c r="AK380">
        <v>15</v>
      </c>
      <c r="AL380" t="s">
        <v>255</v>
      </c>
      <c r="AM380" t="s">
        <v>256</v>
      </c>
      <c r="AN380" t="s">
        <v>257</v>
      </c>
      <c r="AO380" t="s">
        <v>3132</v>
      </c>
      <c r="AP380" t="s">
        <v>3133</v>
      </c>
      <c r="AQ380" t="s">
        <v>74</v>
      </c>
      <c r="AR380" t="s">
        <v>3134</v>
      </c>
      <c r="AS380" t="s">
        <v>3135</v>
      </c>
      <c r="AT380" t="s">
        <v>5640</v>
      </c>
      <c r="AU380">
        <v>2005</v>
      </c>
      <c r="AV380">
        <v>39</v>
      </c>
      <c r="AW380">
        <v>8</v>
      </c>
      <c r="AX380" t="s">
        <v>74</v>
      </c>
      <c r="AY380" t="s">
        <v>74</v>
      </c>
      <c r="AZ380" t="s">
        <v>74</v>
      </c>
      <c r="BA380" t="s">
        <v>74</v>
      </c>
      <c r="BB380">
        <v>1405</v>
      </c>
      <c r="BC380">
        <v>1416</v>
      </c>
      <c r="BD380" t="s">
        <v>74</v>
      </c>
      <c r="BE380" t="s">
        <v>5883</v>
      </c>
      <c r="BF380" t="str">
        <f>HYPERLINK("http://dx.doi.org/10.1016/j.atmosenv.2004.11.027","http://dx.doi.org/10.1016/j.atmosenv.2004.11.027")</f>
        <v>http://dx.doi.org/10.1016/j.atmosenv.2004.11.027</v>
      </c>
      <c r="BG380" t="s">
        <v>74</v>
      </c>
      <c r="BH380" t="s">
        <v>74</v>
      </c>
      <c r="BI380">
        <v>12</v>
      </c>
      <c r="BJ380" t="s">
        <v>2362</v>
      </c>
      <c r="BK380" t="s">
        <v>95</v>
      </c>
      <c r="BL380" t="s">
        <v>2363</v>
      </c>
      <c r="BM380" t="s">
        <v>5884</v>
      </c>
      <c r="BN380" t="s">
        <v>74</v>
      </c>
      <c r="BO380" t="s">
        <v>74</v>
      </c>
      <c r="BP380" t="s">
        <v>74</v>
      </c>
      <c r="BQ380" t="s">
        <v>74</v>
      </c>
      <c r="BR380" t="s">
        <v>97</v>
      </c>
      <c r="BS380" t="s">
        <v>5885</v>
      </c>
      <c r="BT380" t="str">
        <f>HYPERLINK("https%3A%2F%2Fwww.webofscience.com%2Fwos%2Fwoscc%2Ffull-record%2FWOS:000227703200004","View Full Record in Web of Science")</f>
        <v>View Full Record in Web of Science</v>
      </c>
    </row>
    <row r="381" spans="1:72" x14ac:dyDescent="0.15">
      <c r="A381" t="s">
        <v>72</v>
      </c>
      <c r="B381" t="s">
        <v>5886</v>
      </c>
      <c r="C381" t="s">
        <v>74</v>
      </c>
      <c r="D381" t="s">
        <v>74</v>
      </c>
      <c r="E381" t="s">
        <v>74</v>
      </c>
      <c r="F381" t="s">
        <v>5886</v>
      </c>
      <c r="G381" t="s">
        <v>74</v>
      </c>
      <c r="H381" t="s">
        <v>74</v>
      </c>
      <c r="I381" t="s">
        <v>5887</v>
      </c>
      <c r="J381" t="s">
        <v>5888</v>
      </c>
      <c r="K381" t="s">
        <v>74</v>
      </c>
      <c r="L381" t="s">
        <v>74</v>
      </c>
      <c r="M381" t="s">
        <v>77</v>
      </c>
      <c r="N381" t="s">
        <v>78</v>
      </c>
      <c r="O381" t="s">
        <v>74</v>
      </c>
      <c r="P381" t="s">
        <v>74</v>
      </c>
      <c r="Q381" t="s">
        <v>74</v>
      </c>
      <c r="R381" t="s">
        <v>74</v>
      </c>
      <c r="S381" t="s">
        <v>74</v>
      </c>
      <c r="T381" t="s">
        <v>5889</v>
      </c>
      <c r="U381" t="s">
        <v>5890</v>
      </c>
      <c r="V381" t="s">
        <v>5891</v>
      </c>
      <c r="W381" t="s">
        <v>5892</v>
      </c>
      <c r="X381" t="s">
        <v>5893</v>
      </c>
      <c r="Y381" t="s">
        <v>5894</v>
      </c>
      <c r="Z381" t="s">
        <v>5895</v>
      </c>
      <c r="AA381" t="s">
        <v>5896</v>
      </c>
      <c r="AB381" t="s">
        <v>5897</v>
      </c>
      <c r="AC381" t="s">
        <v>74</v>
      </c>
      <c r="AD381" t="s">
        <v>74</v>
      </c>
      <c r="AE381" t="s">
        <v>74</v>
      </c>
      <c r="AF381" t="s">
        <v>74</v>
      </c>
      <c r="AG381">
        <v>38</v>
      </c>
      <c r="AH381">
        <v>44</v>
      </c>
      <c r="AI381">
        <v>49</v>
      </c>
      <c r="AJ381">
        <v>5</v>
      </c>
      <c r="AK381">
        <v>52</v>
      </c>
      <c r="AL381" t="s">
        <v>5898</v>
      </c>
      <c r="AM381" t="s">
        <v>5899</v>
      </c>
      <c r="AN381" t="s">
        <v>5900</v>
      </c>
      <c r="AO381" t="s">
        <v>5901</v>
      </c>
      <c r="AP381" t="s">
        <v>74</v>
      </c>
      <c r="AQ381" t="s">
        <v>74</v>
      </c>
      <c r="AR381" t="s">
        <v>5888</v>
      </c>
      <c r="AS381" t="s">
        <v>5902</v>
      </c>
      <c r="AT381" t="s">
        <v>5640</v>
      </c>
      <c r="AU381">
        <v>2005</v>
      </c>
      <c r="AV381">
        <v>142</v>
      </c>
      <c r="AW381" t="s">
        <v>74</v>
      </c>
      <c r="AX381">
        <v>3</v>
      </c>
      <c r="AY381" t="s">
        <v>74</v>
      </c>
      <c r="AZ381" t="s">
        <v>74</v>
      </c>
      <c r="BA381" t="s">
        <v>74</v>
      </c>
      <c r="BB381">
        <v>305</v>
      </c>
      <c r="BC381">
        <v>328</v>
      </c>
      <c r="BD381" t="s">
        <v>74</v>
      </c>
      <c r="BE381" t="s">
        <v>5903</v>
      </c>
      <c r="BF381" t="str">
        <f>HYPERLINK("http://dx.doi.org/10.1163/1568539053778283","http://dx.doi.org/10.1163/1568539053778283")</f>
        <v>http://dx.doi.org/10.1163/1568539053778283</v>
      </c>
      <c r="BG381" t="s">
        <v>74</v>
      </c>
      <c r="BH381" t="s">
        <v>74</v>
      </c>
      <c r="BI381">
        <v>24</v>
      </c>
      <c r="BJ381" t="s">
        <v>5904</v>
      </c>
      <c r="BK381" t="s">
        <v>95</v>
      </c>
      <c r="BL381" t="s">
        <v>5904</v>
      </c>
      <c r="BM381" t="s">
        <v>5905</v>
      </c>
      <c r="BN381" t="s">
        <v>74</v>
      </c>
      <c r="BO381" t="s">
        <v>74</v>
      </c>
      <c r="BP381" t="s">
        <v>74</v>
      </c>
      <c r="BQ381" t="s">
        <v>74</v>
      </c>
      <c r="BR381" t="s">
        <v>97</v>
      </c>
      <c r="BS381" t="s">
        <v>5906</v>
      </c>
      <c r="BT381" t="str">
        <f>HYPERLINK("https%3A%2F%2Fwww.webofscience.com%2Fwos%2Fwoscc%2Ffull-record%2FWOS:000230357500003","View Full Record in Web of Science")</f>
        <v>View Full Record in Web of Science</v>
      </c>
    </row>
    <row r="382" spans="1:72" x14ac:dyDescent="0.15">
      <c r="A382" t="s">
        <v>72</v>
      </c>
      <c r="B382" t="s">
        <v>541</v>
      </c>
      <c r="C382" t="s">
        <v>74</v>
      </c>
      <c r="D382" t="s">
        <v>74</v>
      </c>
      <c r="E382" t="s">
        <v>74</v>
      </c>
      <c r="F382" t="s">
        <v>541</v>
      </c>
      <c r="G382" t="s">
        <v>74</v>
      </c>
      <c r="H382" t="s">
        <v>74</v>
      </c>
      <c r="I382" t="s">
        <v>5907</v>
      </c>
      <c r="J382" t="s">
        <v>5908</v>
      </c>
      <c r="K382" t="s">
        <v>74</v>
      </c>
      <c r="L382" t="s">
        <v>74</v>
      </c>
      <c r="M382" t="s">
        <v>77</v>
      </c>
      <c r="N382" t="s">
        <v>5909</v>
      </c>
      <c r="O382" t="s">
        <v>74</v>
      </c>
      <c r="P382" t="s">
        <v>74</v>
      </c>
      <c r="Q382" t="s">
        <v>74</v>
      </c>
      <c r="R382" t="s">
        <v>74</v>
      </c>
      <c r="S382" t="s">
        <v>74</v>
      </c>
      <c r="T382" t="s">
        <v>74</v>
      </c>
      <c r="U382" t="s">
        <v>74</v>
      </c>
      <c r="V382" t="s">
        <v>74</v>
      </c>
      <c r="W382" t="s">
        <v>74</v>
      </c>
      <c r="X382" t="s">
        <v>74</v>
      </c>
      <c r="Y382" t="s">
        <v>74</v>
      </c>
      <c r="Z382" t="s">
        <v>74</v>
      </c>
      <c r="AA382" t="s">
        <v>74</v>
      </c>
      <c r="AB382" t="s">
        <v>74</v>
      </c>
      <c r="AC382" t="s">
        <v>74</v>
      </c>
      <c r="AD382" t="s">
        <v>74</v>
      </c>
      <c r="AE382" t="s">
        <v>74</v>
      </c>
      <c r="AF382" t="s">
        <v>74</v>
      </c>
      <c r="AG382">
        <v>0</v>
      </c>
      <c r="AH382">
        <v>0</v>
      </c>
      <c r="AI382">
        <v>0</v>
      </c>
      <c r="AJ382">
        <v>0</v>
      </c>
      <c r="AK382">
        <v>0</v>
      </c>
      <c r="AL382" t="s">
        <v>902</v>
      </c>
      <c r="AM382" t="s">
        <v>903</v>
      </c>
      <c r="AN382" t="s">
        <v>922</v>
      </c>
      <c r="AO382" t="s">
        <v>5910</v>
      </c>
      <c r="AP382" t="s">
        <v>5911</v>
      </c>
      <c r="AQ382" t="s">
        <v>74</v>
      </c>
      <c r="AR382" t="s">
        <v>5912</v>
      </c>
      <c r="AS382" t="s">
        <v>5913</v>
      </c>
      <c r="AT382" t="s">
        <v>5640</v>
      </c>
      <c r="AU382">
        <v>2005</v>
      </c>
      <c r="AV382">
        <v>86</v>
      </c>
      <c r="AW382">
        <v>3</v>
      </c>
      <c r="AX382" t="s">
        <v>74</v>
      </c>
      <c r="AY382" t="s">
        <v>74</v>
      </c>
      <c r="AZ382" t="s">
        <v>74</v>
      </c>
      <c r="BA382" t="s">
        <v>74</v>
      </c>
      <c r="BB382">
        <v>311</v>
      </c>
      <c r="BC382">
        <v>311</v>
      </c>
      <c r="BD382" t="s">
        <v>74</v>
      </c>
      <c r="BE382" t="s">
        <v>74</v>
      </c>
      <c r="BF382" t="s">
        <v>74</v>
      </c>
      <c r="BG382" t="s">
        <v>74</v>
      </c>
      <c r="BH382" t="s">
        <v>74</v>
      </c>
      <c r="BI382">
        <v>1</v>
      </c>
      <c r="BJ382" t="s">
        <v>401</v>
      </c>
      <c r="BK382" t="s">
        <v>95</v>
      </c>
      <c r="BL382" t="s">
        <v>401</v>
      </c>
      <c r="BM382" t="s">
        <v>5914</v>
      </c>
      <c r="BN382" t="s">
        <v>74</v>
      </c>
      <c r="BO382" t="s">
        <v>74</v>
      </c>
      <c r="BP382" t="s">
        <v>74</v>
      </c>
      <c r="BQ382" t="s">
        <v>74</v>
      </c>
      <c r="BR382" t="s">
        <v>97</v>
      </c>
      <c r="BS382" t="s">
        <v>5915</v>
      </c>
      <c r="BT382" t="str">
        <f>HYPERLINK("https%3A%2F%2Fwww.webofscience.com%2Fwos%2Fwoscc%2Ffull-record%2FWOS:000228128600002","View Full Record in Web of Science")</f>
        <v>View Full Record in Web of Science</v>
      </c>
    </row>
    <row r="383" spans="1:72" x14ac:dyDescent="0.15">
      <c r="A383" t="s">
        <v>72</v>
      </c>
      <c r="B383" t="s">
        <v>5916</v>
      </c>
      <c r="C383" t="s">
        <v>74</v>
      </c>
      <c r="D383" t="s">
        <v>74</v>
      </c>
      <c r="E383" t="s">
        <v>74</v>
      </c>
      <c r="F383" t="s">
        <v>5916</v>
      </c>
      <c r="G383" t="s">
        <v>74</v>
      </c>
      <c r="H383" t="s">
        <v>74</v>
      </c>
      <c r="I383" t="s">
        <v>5917</v>
      </c>
      <c r="J383" t="s">
        <v>4384</v>
      </c>
      <c r="K383" t="s">
        <v>74</v>
      </c>
      <c r="L383" t="s">
        <v>74</v>
      </c>
      <c r="M383" t="s">
        <v>77</v>
      </c>
      <c r="N383" t="s">
        <v>78</v>
      </c>
      <c r="O383" t="s">
        <v>74</v>
      </c>
      <c r="P383" t="s">
        <v>74</v>
      </c>
      <c r="Q383" t="s">
        <v>74</v>
      </c>
      <c r="R383" t="s">
        <v>74</v>
      </c>
      <c r="S383" t="s">
        <v>74</v>
      </c>
      <c r="T383" t="s">
        <v>74</v>
      </c>
      <c r="U383" t="s">
        <v>5918</v>
      </c>
      <c r="V383" t="s">
        <v>5919</v>
      </c>
      <c r="W383" t="s">
        <v>5920</v>
      </c>
      <c r="X383" t="s">
        <v>5921</v>
      </c>
      <c r="Y383" t="s">
        <v>5922</v>
      </c>
      <c r="Z383" t="s">
        <v>5923</v>
      </c>
      <c r="AA383" t="s">
        <v>5924</v>
      </c>
      <c r="AB383" t="s">
        <v>5925</v>
      </c>
      <c r="AC383" t="s">
        <v>74</v>
      </c>
      <c r="AD383" t="s">
        <v>74</v>
      </c>
      <c r="AE383" t="s">
        <v>74</v>
      </c>
      <c r="AF383" t="s">
        <v>74</v>
      </c>
      <c r="AG383">
        <v>65</v>
      </c>
      <c r="AH383">
        <v>45</v>
      </c>
      <c r="AI383">
        <v>59</v>
      </c>
      <c r="AJ383">
        <v>1</v>
      </c>
      <c r="AK383">
        <v>21</v>
      </c>
      <c r="AL383" t="s">
        <v>4388</v>
      </c>
      <c r="AM383" t="s">
        <v>4389</v>
      </c>
      <c r="AN383" t="s">
        <v>4390</v>
      </c>
      <c r="AO383" t="s">
        <v>4391</v>
      </c>
      <c r="AP383" t="s">
        <v>4392</v>
      </c>
      <c r="AQ383" t="s">
        <v>74</v>
      </c>
      <c r="AR383" t="s">
        <v>4393</v>
      </c>
      <c r="AS383" t="s">
        <v>4394</v>
      </c>
      <c r="AT383" t="s">
        <v>5640</v>
      </c>
      <c r="AU383">
        <v>2005</v>
      </c>
      <c r="AV383">
        <v>83</v>
      </c>
      <c r="AW383">
        <v>3</v>
      </c>
      <c r="AX383" t="s">
        <v>74</v>
      </c>
      <c r="AY383" t="s">
        <v>74</v>
      </c>
      <c r="AZ383" t="s">
        <v>74</v>
      </c>
      <c r="BA383" t="s">
        <v>74</v>
      </c>
      <c r="BB383">
        <v>377</v>
      </c>
      <c r="BC383">
        <v>388</v>
      </c>
      <c r="BD383" t="s">
        <v>74</v>
      </c>
      <c r="BE383" t="s">
        <v>5926</v>
      </c>
      <c r="BF383" t="str">
        <f>HYPERLINK("http://dx.doi.org/10.1139/Z05-021","http://dx.doi.org/10.1139/Z05-021")</f>
        <v>http://dx.doi.org/10.1139/Z05-021</v>
      </c>
      <c r="BG383" t="s">
        <v>74</v>
      </c>
      <c r="BH383" t="s">
        <v>74</v>
      </c>
      <c r="BI383">
        <v>12</v>
      </c>
      <c r="BJ383" t="s">
        <v>2430</v>
      </c>
      <c r="BK383" t="s">
        <v>95</v>
      </c>
      <c r="BL383" t="s">
        <v>2430</v>
      </c>
      <c r="BM383" t="s">
        <v>5927</v>
      </c>
      <c r="BN383" t="s">
        <v>74</v>
      </c>
      <c r="BO383" t="s">
        <v>74</v>
      </c>
      <c r="BP383" t="s">
        <v>74</v>
      </c>
      <c r="BQ383" t="s">
        <v>74</v>
      </c>
      <c r="BR383" t="s">
        <v>97</v>
      </c>
      <c r="BS383" t="s">
        <v>5928</v>
      </c>
      <c r="BT383" t="str">
        <f>HYPERLINK("https%3A%2F%2Fwww.webofscience.com%2Fwos%2Fwoscc%2Ffull-record%2FWOS:000229413100001","View Full Record in Web of Science")</f>
        <v>View Full Record in Web of Science</v>
      </c>
    </row>
    <row r="384" spans="1:72" x14ac:dyDescent="0.15">
      <c r="A384" t="s">
        <v>72</v>
      </c>
      <c r="B384" t="s">
        <v>5929</v>
      </c>
      <c r="C384" t="s">
        <v>74</v>
      </c>
      <c r="D384" t="s">
        <v>74</v>
      </c>
      <c r="E384" t="s">
        <v>74</v>
      </c>
      <c r="F384" t="s">
        <v>5929</v>
      </c>
      <c r="G384" t="s">
        <v>74</v>
      </c>
      <c r="H384" t="s">
        <v>74</v>
      </c>
      <c r="I384" t="s">
        <v>5930</v>
      </c>
      <c r="J384" t="s">
        <v>1390</v>
      </c>
      <c r="K384" t="s">
        <v>74</v>
      </c>
      <c r="L384" t="s">
        <v>74</v>
      </c>
      <c r="M384" t="s">
        <v>77</v>
      </c>
      <c r="N384" t="s">
        <v>78</v>
      </c>
      <c r="O384" t="s">
        <v>74</v>
      </c>
      <c r="P384" t="s">
        <v>74</v>
      </c>
      <c r="Q384" t="s">
        <v>74</v>
      </c>
      <c r="R384" t="s">
        <v>74</v>
      </c>
      <c r="S384" t="s">
        <v>74</v>
      </c>
      <c r="T384" t="s">
        <v>5931</v>
      </c>
      <c r="U384" t="s">
        <v>5932</v>
      </c>
      <c r="V384" t="s">
        <v>5933</v>
      </c>
      <c r="W384" t="s">
        <v>5934</v>
      </c>
      <c r="X384" t="s">
        <v>5935</v>
      </c>
      <c r="Y384" t="s">
        <v>5936</v>
      </c>
      <c r="Z384" t="s">
        <v>5937</v>
      </c>
      <c r="AA384" t="s">
        <v>5938</v>
      </c>
      <c r="AB384" t="s">
        <v>5939</v>
      </c>
      <c r="AC384" t="s">
        <v>74</v>
      </c>
      <c r="AD384" t="s">
        <v>74</v>
      </c>
      <c r="AE384" t="s">
        <v>74</v>
      </c>
      <c r="AF384" t="s">
        <v>74</v>
      </c>
      <c r="AG384">
        <v>46</v>
      </c>
      <c r="AH384">
        <v>138</v>
      </c>
      <c r="AI384">
        <v>174</v>
      </c>
      <c r="AJ384">
        <v>2</v>
      </c>
      <c r="AK384">
        <v>61</v>
      </c>
      <c r="AL384" t="s">
        <v>255</v>
      </c>
      <c r="AM384" t="s">
        <v>256</v>
      </c>
      <c r="AN384" t="s">
        <v>257</v>
      </c>
      <c r="AO384" t="s">
        <v>1398</v>
      </c>
      <c r="AP384" t="s">
        <v>1399</v>
      </c>
      <c r="AQ384" t="s">
        <v>74</v>
      </c>
      <c r="AR384" t="s">
        <v>1390</v>
      </c>
      <c r="AS384" t="s">
        <v>1400</v>
      </c>
      <c r="AT384" t="s">
        <v>5640</v>
      </c>
      <c r="AU384">
        <v>2005</v>
      </c>
      <c r="AV384">
        <v>58</v>
      </c>
      <c r="AW384">
        <v>10</v>
      </c>
      <c r="AX384" t="s">
        <v>74</v>
      </c>
      <c r="AY384" t="s">
        <v>74</v>
      </c>
      <c r="AZ384" t="s">
        <v>74</v>
      </c>
      <c r="BA384" t="s">
        <v>74</v>
      </c>
      <c r="BB384">
        <v>1439</v>
      </c>
      <c r="BC384">
        <v>1448</v>
      </c>
      <c r="BD384" t="s">
        <v>74</v>
      </c>
      <c r="BE384" t="s">
        <v>5940</v>
      </c>
      <c r="BF384" t="str">
        <f>HYPERLINK("http://dx.doi.org/10.1016/j.chemosphere.2004.10.007","http://dx.doi.org/10.1016/j.chemosphere.2004.10.007")</f>
        <v>http://dx.doi.org/10.1016/j.chemosphere.2004.10.007</v>
      </c>
      <c r="BG384" t="s">
        <v>74</v>
      </c>
      <c r="BH384" t="s">
        <v>74</v>
      </c>
      <c r="BI384">
        <v>10</v>
      </c>
      <c r="BJ384" t="s">
        <v>1402</v>
      </c>
      <c r="BK384" t="s">
        <v>95</v>
      </c>
      <c r="BL384" t="s">
        <v>219</v>
      </c>
      <c r="BM384" t="s">
        <v>5941</v>
      </c>
      <c r="BN384">
        <v>15686763</v>
      </c>
      <c r="BO384" t="s">
        <v>74</v>
      </c>
      <c r="BP384" t="s">
        <v>74</v>
      </c>
      <c r="BQ384" t="s">
        <v>74</v>
      </c>
      <c r="BR384" t="s">
        <v>97</v>
      </c>
      <c r="BS384" t="s">
        <v>5942</v>
      </c>
      <c r="BT384" t="str">
        <f>HYPERLINK("https%3A%2F%2Fwww.webofscience.com%2Fwos%2Fwoscc%2Ffull-record%2FWOS:000227589200016","View Full Record in Web of Science")</f>
        <v>View Full Record in Web of Science</v>
      </c>
    </row>
    <row r="385" spans="1:72" x14ac:dyDescent="0.15">
      <c r="A385" t="s">
        <v>72</v>
      </c>
      <c r="B385" t="s">
        <v>5943</v>
      </c>
      <c r="C385" t="s">
        <v>74</v>
      </c>
      <c r="D385" t="s">
        <v>74</v>
      </c>
      <c r="E385" t="s">
        <v>74</v>
      </c>
      <c r="F385" t="s">
        <v>5944</v>
      </c>
      <c r="G385" t="s">
        <v>74</v>
      </c>
      <c r="H385" t="s">
        <v>74</v>
      </c>
      <c r="I385" t="s">
        <v>5945</v>
      </c>
      <c r="J385" t="s">
        <v>5946</v>
      </c>
      <c r="K385" t="s">
        <v>74</v>
      </c>
      <c r="L385" t="s">
        <v>74</v>
      </c>
      <c r="M385" t="s">
        <v>77</v>
      </c>
      <c r="N385" t="s">
        <v>78</v>
      </c>
      <c r="O385" t="s">
        <v>74</v>
      </c>
      <c r="P385" t="s">
        <v>74</v>
      </c>
      <c r="Q385" t="s">
        <v>74</v>
      </c>
      <c r="R385" t="s">
        <v>74</v>
      </c>
      <c r="S385" t="s">
        <v>74</v>
      </c>
      <c r="T385" t="s">
        <v>5947</v>
      </c>
      <c r="U385" t="s">
        <v>5948</v>
      </c>
      <c r="V385" t="s">
        <v>5949</v>
      </c>
      <c r="W385" t="s">
        <v>5950</v>
      </c>
      <c r="X385" t="s">
        <v>5951</v>
      </c>
      <c r="Y385" t="s">
        <v>5952</v>
      </c>
      <c r="Z385" t="s">
        <v>5953</v>
      </c>
      <c r="AA385" t="s">
        <v>74</v>
      </c>
      <c r="AB385" t="s">
        <v>74</v>
      </c>
      <c r="AC385" t="s">
        <v>5954</v>
      </c>
      <c r="AD385" t="s">
        <v>5955</v>
      </c>
      <c r="AE385" t="s">
        <v>5956</v>
      </c>
      <c r="AF385" t="s">
        <v>74</v>
      </c>
      <c r="AG385">
        <v>11</v>
      </c>
      <c r="AH385">
        <v>11</v>
      </c>
      <c r="AI385">
        <v>13</v>
      </c>
      <c r="AJ385">
        <v>1</v>
      </c>
      <c r="AK385">
        <v>17</v>
      </c>
      <c r="AL385" t="s">
        <v>133</v>
      </c>
      <c r="AM385" t="s">
        <v>134</v>
      </c>
      <c r="AN385" t="s">
        <v>181</v>
      </c>
      <c r="AO385" t="s">
        <v>5957</v>
      </c>
      <c r="AP385" t="s">
        <v>5958</v>
      </c>
      <c r="AQ385" t="s">
        <v>74</v>
      </c>
      <c r="AR385" t="s">
        <v>5959</v>
      </c>
      <c r="AS385" t="s">
        <v>5960</v>
      </c>
      <c r="AT385" t="s">
        <v>5640</v>
      </c>
      <c r="AU385">
        <v>2005</v>
      </c>
      <c r="AV385">
        <v>15</v>
      </c>
      <c r="AW385">
        <v>1</v>
      </c>
      <c r="AX385" t="s">
        <v>74</v>
      </c>
      <c r="AY385" t="s">
        <v>74</v>
      </c>
      <c r="AZ385" t="s">
        <v>74</v>
      </c>
      <c r="BA385" t="s">
        <v>74</v>
      </c>
      <c r="BB385">
        <v>22</v>
      </c>
      <c r="BC385">
        <v>28</v>
      </c>
      <c r="BD385" t="s">
        <v>74</v>
      </c>
      <c r="BE385" t="s">
        <v>5961</v>
      </c>
      <c r="BF385" t="str">
        <f>HYPERLINK("http://dx.doi.org/10.1007/s11769-003-0064-x","http://dx.doi.org/10.1007/s11769-003-0064-x")</f>
        <v>http://dx.doi.org/10.1007/s11769-003-0064-x</v>
      </c>
      <c r="BG385" t="s">
        <v>74</v>
      </c>
      <c r="BH385" t="s">
        <v>74</v>
      </c>
      <c r="BI385">
        <v>7</v>
      </c>
      <c r="BJ385" t="s">
        <v>1402</v>
      </c>
      <c r="BK385" t="s">
        <v>95</v>
      </c>
      <c r="BL385" t="s">
        <v>219</v>
      </c>
      <c r="BM385" t="s">
        <v>5962</v>
      </c>
      <c r="BN385" t="s">
        <v>74</v>
      </c>
      <c r="BO385" t="s">
        <v>74</v>
      </c>
      <c r="BP385" t="s">
        <v>74</v>
      </c>
      <c r="BQ385" t="s">
        <v>74</v>
      </c>
      <c r="BR385" t="s">
        <v>97</v>
      </c>
      <c r="BS385" t="s">
        <v>5963</v>
      </c>
      <c r="BT385" t="str">
        <f>HYPERLINK("https%3A%2F%2Fwww.webofscience.com%2Fwos%2Fwoscc%2Ffull-record%2FWOS:000206580500004","View Full Record in Web of Science")</f>
        <v>View Full Record in Web of Science</v>
      </c>
    </row>
    <row r="386" spans="1:72" x14ac:dyDescent="0.15">
      <c r="A386" t="s">
        <v>72</v>
      </c>
      <c r="B386" t="s">
        <v>5964</v>
      </c>
      <c r="C386" t="s">
        <v>74</v>
      </c>
      <c r="D386" t="s">
        <v>74</v>
      </c>
      <c r="E386" t="s">
        <v>74</v>
      </c>
      <c r="F386" t="s">
        <v>5964</v>
      </c>
      <c r="G386" t="s">
        <v>74</v>
      </c>
      <c r="H386" t="s">
        <v>74</v>
      </c>
      <c r="I386" t="s">
        <v>5965</v>
      </c>
      <c r="J386" t="s">
        <v>5966</v>
      </c>
      <c r="K386" t="s">
        <v>74</v>
      </c>
      <c r="L386" t="s">
        <v>74</v>
      </c>
      <c r="M386" t="s">
        <v>77</v>
      </c>
      <c r="N386" t="s">
        <v>78</v>
      </c>
      <c r="O386" t="s">
        <v>74</v>
      </c>
      <c r="P386" t="s">
        <v>74</v>
      </c>
      <c r="Q386" t="s">
        <v>74</v>
      </c>
      <c r="R386" t="s">
        <v>74</v>
      </c>
      <c r="S386" t="s">
        <v>74</v>
      </c>
      <c r="T386" t="s">
        <v>5967</v>
      </c>
      <c r="U386" t="s">
        <v>74</v>
      </c>
      <c r="V386" t="s">
        <v>5968</v>
      </c>
      <c r="W386" t="s">
        <v>5969</v>
      </c>
      <c r="X386" t="s">
        <v>5970</v>
      </c>
      <c r="Y386" t="s">
        <v>5971</v>
      </c>
      <c r="Z386" t="s">
        <v>5972</v>
      </c>
      <c r="AA386" t="s">
        <v>5973</v>
      </c>
      <c r="AB386" t="s">
        <v>5974</v>
      </c>
      <c r="AC386" t="s">
        <v>74</v>
      </c>
      <c r="AD386" t="s">
        <v>74</v>
      </c>
      <c r="AE386" t="s">
        <v>74</v>
      </c>
      <c r="AF386" t="s">
        <v>74</v>
      </c>
      <c r="AG386">
        <v>29</v>
      </c>
      <c r="AH386">
        <v>8</v>
      </c>
      <c r="AI386">
        <v>12</v>
      </c>
      <c r="AJ386">
        <v>0</v>
      </c>
      <c r="AK386">
        <v>6</v>
      </c>
      <c r="AL386" t="s">
        <v>435</v>
      </c>
      <c r="AM386" t="s">
        <v>436</v>
      </c>
      <c r="AN386" t="s">
        <v>437</v>
      </c>
      <c r="AO386" t="s">
        <v>5975</v>
      </c>
      <c r="AP386" t="s">
        <v>5976</v>
      </c>
      <c r="AQ386" t="s">
        <v>74</v>
      </c>
      <c r="AR386" t="s">
        <v>5977</v>
      </c>
      <c r="AS386" t="s">
        <v>5978</v>
      </c>
      <c r="AT386" t="s">
        <v>5640</v>
      </c>
      <c r="AU386">
        <v>2005</v>
      </c>
      <c r="AV386">
        <v>41</v>
      </c>
      <c r="AW386">
        <v>3</v>
      </c>
      <c r="AX386" t="s">
        <v>74</v>
      </c>
      <c r="AY386" t="s">
        <v>74</v>
      </c>
      <c r="AZ386" t="s">
        <v>74</v>
      </c>
      <c r="BA386" t="s">
        <v>74</v>
      </c>
      <c r="BB386">
        <v>175</v>
      </c>
      <c r="BC386">
        <v>188</v>
      </c>
      <c r="BD386" t="s">
        <v>74</v>
      </c>
      <c r="BE386" t="s">
        <v>5979</v>
      </c>
      <c r="BF386" t="str">
        <f>HYPERLINK("http://dx.doi.org/10.1016/j.coldregions.2004.10.004","http://dx.doi.org/10.1016/j.coldregions.2004.10.004")</f>
        <v>http://dx.doi.org/10.1016/j.coldregions.2004.10.004</v>
      </c>
      <c r="BG386" t="s">
        <v>74</v>
      </c>
      <c r="BH386" t="s">
        <v>74</v>
      </c>
      <c r="BI386">
        <v>14</v>
      </c>
      <c r="BJ386" t="s">
        <v>5980</v>
      </c>
      <c r="BK386" t="s">
        <v>95</v>
      </c>
      <c r="BL386" t="s">
        <v>5981</v>
      </c>
      <c r="BM386" t="s">
        <v>5982</v>
      </c>
      <c r="BN386" t="s">
        <v>74</v>
      </c>
      <c r="BO386" t="s">
        <v>74</v>
      </c>
      <c r="BP386" t="s">
        <v>74</v>
      </c>
      <c r="BQ386" t="s">
        <v>74</v>
      </c>
      <c r="BR386" t="s">
        <v>97</v>
      </c>
      <c r="BS386" t="s">
        <v>5983</v>
      </c>
      <c r="BT386" t="str">
        <f>HYPERLINK("https%3A%2F%2Fwww.webofscience.com%2Fwos%2Fwoscc%2Ffull-record%2FWOS:000227433300002","View Full Record in Web of Science")</f>
        <v>View Full Record in Web of Science</v>
      </c>
    </row>
    <row r="387" spans="1:72" x14ac:dyDescent="0.15">
      <c r="A387" t="s">
        <v>72</v>
      </c>
      <c r="B387" t="s">
        <v>5984</v>
      </c>
      <c r="C387" t="s">
        <v>74</v>
      </c>
      <c r="D387" t="s">
        <v>74</v>
      </c>
      <c r="E387" t="s">
        <v>74</v>
      </c>
      <c r="F387" t="s">
        <v>5984</v>
      </c>
      <c r="G387" t="s">
        <v>74</v>
      </c>
      <c r="H387" t="s">
        <v>74</v>
      </c>
      <c r="I387" t="s">
        <v>5985</v>
      </c>
      <c r="J387" t="s">
        <v>1457</v>
      </c>
      <c r="K387" t="s">
        <v>74</v>
      </c>
      <c r="L387" t="s">
        <v>74</v>
      </c>
      <c r="M387" t="s">
        <v>77</v>
      </c>
      <c r="N387" t="s">
        <v>78</v>
      </c>
      <c r="O387" t="s">
        <v>74</v>
      </c>
      <c r="P387" t="s">
        <v>74</v>
      </c>
      <c r="Q387" t="s">
        <v>74</v>
      </c>
      <c r="R387" t="s">
        <v>74</v>
      </c>
      <c r="S387" t="s">
        <v>74</v>
      </c>
      <c r="T387" t="s">
        <v>5986</v>
      </c>
      <c r="U387" t="s">
        <v>5987</v>
      </c>
      <c r="V387" t="s">
        <v>5988</v>
      </c>
      <c r="W387" t="s">
        <v>670</v>
      </c>
      <c r="X387" t="s">
        <v>671</v>
      </c>
      <c r="Y387" t="s">
        <v>5989</v>
      </c>
      <c r="Z387" t="s">
        <v>5990</v>
      </c>
      <c r="AA387" t="s">
        <v>5991</v>
      </c>
      <c r="AB387" t="s">
        <v>5992</v>
      </c>
      <c r="AC387" t="s">
        <v>74</v>
      </c>
      <c r="AD387" t="s">
        <v>74</v>
      </c>
      <c r="AE387" t="s">
        <v>74</v>
      </c>
      <c r="AF387" t="s">
        <v>74</v>
      </c>
      <c r="AG387">
        <v>57</v>
      </c>
      <c r="AH387">
        <v>28</v>
      </c>
      <c r="AI387">
        <v>31</v>
      </c>
      <c r="AJ387">
        <v>0</v>
      </c>
      <c r="AK387">
        <v>18</v>
      </c>
      <c r="AL387" t="s">
        <v>255</v>
      </c>
      <c r="AM387" t="s">
        <v>256</v>
      </c>
      <c r="AN387" t="s">
        <v>257</v>
      </c>
      <c r="AO387" t="s">
        <v>1467</v>
      </c>
      <c r="AP387" t="s">
        <v>1468</v>
      </c>
      <c r="AQ387" t="s">
        <v>74</v>
      </c>
      <c r="AR387" t="s">
        <v>1469</v>
      </c>
      <c r="AS387" t="s">
        <v>1470</v>
      </c>
      <c r="AT387" t="s">
        <v>5640</v>
      </c>
      <c r="AU387">
        <v>2005</v>
      </c>
      <c r="AV387">
        <v>52</v>
      </c>
      <c r="AW387">
        <v>3</v>
      </c>
      <c r="AX387" t="s">
        <v>74</v>
      </c>
      <c r="AY387" t="s">
        <v>74</v>
      </c>
      <c r="AZ387" t="s">
        <v>74</v>
      </c>
      <c r="BA387" t="s">
        <v>74</v>
      </c>
      <c r="BB387">
        <v>421</v>
      </c>
      <c r="BC387">
        <v>441</v>
      </c>
      <c r="BD387" t="s">
        <v>74</v>
      </c>
      <c r="BE387" t="s">
        <v>5993</v>
      </c>
      <c r="BF387" t="str">
        <f>HYPERLINK("http://dx.doi.org/10.1016/j.dsr.2004.10.003","http://dx.doi.org/10.1016/j.dsr.2004.10.003")</f>
        <v>http://dx.doi.org/10.1016/j.dsr.2004.10.003</v>
      </c>
      <c r="BG387" t="s">
        <v>74</v>
      </c>
      <c r="BH387" t="s">
        <v>74</v>
      </c>
      <c r="BI387">
        <v>21</v>
      </c>
      <c r="BJ387" t="s">
        <v>632</v>
      </c>
      <c r="BK387" t="s">
        <v>95</v>
      </c>
      <c r="BL387" t="s">
        <v>632</v>
      </c>
      <c r="BM387" t="s">
        <v>5994</v>
      </c>
      <c r="BN387" t="s">
        <v>74</v>
      </c>
      <c r="BO387" t="s">
        <v>74</v>
      </c>
      <c r="BP387" t="s">
        <v>74</v>
      </c>
      <c r="BQ387" t="s">
        <v>74</v>
      </c>
      <c r="BR387" t="s">
        <v>97</v>
      </c>
      <c r="BS387" t="s">
        <v>5995</v>
      </c>
      <c r="BT387" t="str">
        <f>HYPERLINK("https%3A%2F%2Fwww.webofscience.com%2Fwos%2Fwoscc%2Ffull-record%2FWOS:000228003800002","View Full Record in Web of Science")</f>
        <v>View Full Record in Web of Science</v>
      </c>
    </row>
    <row r="388" spans="1:72" x14ac:dyDescent="0.15">
      <c r="A388" t="s">
        <v>72</v>
      </c>
      <c r="B388" t="s">
        <v>5996</v>
      </c>
      <c r="C388" t="s">
        <v>74</v>
      </c>
      <c r="D388" t="s">
        <v>74</v>
      </c>
      <c r="E388" t="s">
        <v>74</v>
      </c>
      <c r="F388" t="s">
        <v>5996</v>
      </c>
      <c r="G388" t="s">
        <v>74</v>
      </c>
      <c r="H388" t="s">
        <v>74</v>
      </c>
      <c r="I388" t="s">
        <v>5997</v>
      </c>
      <c r="J388" t="s">
        <v>3222</v>
      </c>
      <c r="K388" t="s">
        <v>74</v>
      </c>
      <c r="L388" t="s">
        <v>74</v>
      </c>
      <c r="M388" t="s">
        <v>77</v>
      </c>
      <c r="N388" t="s">
        <v>78</v>
      </c>
      <c r="O388" t="s">
        <v>74</v>
      </c>
      <c r="P388" t="s">
        <v>74</v>
      </c>
      <c r="Q388" t="s">
        <v>74</v>
      </c>
      <c r="R388" t="s">
        <v>74</v>
      </c>
      <c r="S388" t="s">
        <v>74</v>
      </c>
      <c r="T388" t="s">
        <v>74</v>
      </c>
      <c r="U388" t="s">
        <v>74</v>
      </c>
      <c r="V388" t="s">
        <v>74</v>
      </c>
      <c r="W388" t="s">
        <v>5998</v>
      </c>
      <c r="X388" t="s">
        <v>5999</v>
      </c>
      <c r="Y388" t="s">
        <v>6000</v>
      </c>
      <c r="Z388" t="s">
        <v>6001</v>
      </c>
      <c r="AA388" t="s">
        <v>74</v>
      </c>
      <c r="AB388" t="s">
        <v>74</v>
      </c>
      <c r="AC388" t="s">
        <v>74</v>
      </c>
      <c r="AD388" t="s">
        <v>74</v>
      </c>
      <c r="AE388" t="s">
        <v>74</v>
      </c>
      <c r="AF388" t="s">
        <v>74</v>
      </c>
      <c r="AG388">
        <v>13</v>
      </c>
      <c r="AH388">
        <v>4</v>
      </c>
      <c r="AI388">
        <v>4</v>
      </c>
      <c r="AJ388">
        <v>0</v>
      </c>
      <c r="AK388">
        <v>3</v>
      </c>
      <c r="AL388" t="s">
        <v>3227</v>
      </c>
      <c r="AM388" t="s">
        <v>134</v>
      </c>
      <c r="AN388" t="s">
        <v>3228</v>
      </c>
      <c r="AO388" t="s">
        <v>3229</v>
      </c>
      <c r="AP388" t="s">
        <v>3230</v>
      </c>
      <c r="AQ388" t="s">
        <v>74</v>
      </c>
      <c r="AR388" t="s">
        <v>3231</v>
      </c>
      <c r="AS388" t="s">
        <v>3232</v>
      </c>
      <c r="AT388" t="s">
        <v>6002</v>
      </c>
      <c r="AU388">
        <v>2005</v>
      </c>
      <c r="AV388" t="s">
        <v>6003</v>
      </c>
      <c r="AW388">
        <v>3</v>
      </c>
      <c r="AX388" t="s">
        <v>74</v>
      </c>
      <c r="AY388" t="s">
        <v>74</v>
      </c>
      <c r="AZ388" t="s">
        <v>74</v>
      </c>
      <c r="BA388" t="s">
        <v>74</v>
      </c>
      <c r="BB388">
        <v>486</v>
      </c>
      <c r="BC388">
        <v>489</v>
      </c>
      <c r="BD388" t="s">
        <v>74</v>
      </c>
      <c r="BE388" t="s">
        <v>74</v>
      </c>
      <c r="BF388" t="s">
        <v>74</v>
      </c>
      <c r="BG388" t="s">
        <v>74</v>
      </c>
      <c r="BH388" t="s">
        <v>74</v>
      </c>
      <c r="BI388">
        <v>4</v>
      </c>
      <c r="BJ388" t="s">
        <v>537</v>
      </c>
      <c r="BK388" t="s">
        <v>95</v>
      </c>
      <c r="BL388" t="s">
        <v>307</v>
      </c>
      <c r="BM388" t="s">
        <v>6004</v>
      </c>
      <c r="BN388" t="s">
        <v>74</v>
      </c>
      <c r="BO388" t="s">
        <v>74</v>
      </c>
      <c r="BP388" t="s">
        <v>74</v>
      </c>
      <c r="BQ388" t="s">
        <v>74</v>
      </c>
      <c r="BR388" t="s">
        <v>97</v>
      </c>
      <c r="BS388" t="s">
        <v>6005</v>
      </c>
      <c r="BT388" t="str">
        <f>HYPERLINK("https%3A%2F%2Fwww.webofscience.com%2Fwos%2Fwoscc%2Ffull-record%2FWOS:000229362200036","View Full Record in Web of Science")</f>
        <v>View Full Record in Web of Science</v>
      </c>
    </row>
    <row r="389" spans="1:72" x14ac:dyDescent="0.15">
      <c r="A389" t="s">
        <v>72</v>
      </c>
      <c r="B389" t="s">
        <v>6006</v>
      </c>
      <c r="C389" t="s">
        <v>74</v>
      </c>
      <c r="D389" t="s">
        <v>74</v>
      </c>
      <c r="E389" t="s">
        <v>74</v>
      </c>
      <c r="F389" t="s">
        <v>6006</v>
      </c>
      <c r="G389" t="s">
        <v>74</v>
      </c>
      <c r="H389" t="s">
        <v>74</v>
      </c>
      <c r="I389" t="s">
        <v>6007</v>
      </c>
      <c r="J389" t="s">
        <v>6008</v>
      </c>
      <c r="K389" t="s">
        <v>74</v>
      </c>
      <c r="L389" t="s">
        <v>74</v>
      </c>
      <c r="M389" t="s">
        <v>77</v>
      </c>
      <c r="N389" t="s">
        <v>78</v>
      </c>
      <c r="O389" t="s">
        <v>74</v>
      </c>
      <c r="P389" t="s">
        <v>74</v>
      </c>
      <c r="Q389" t="s">
        <v>74</v>
      </c>
      <c r="R389" t="s">
        <v>74</v>
      </c>
      <c r="S389" t="s">
        <v>74</v>
      </c>
      <c r="T389" t="s">
        <v>6009</v>
      </c>
      <c r="U389" t="s">
        <v>6010</v>
      </c>
      <c r="V389" t="s">
        <v>6011</v>
      </c>
      <c r="W389" t="s">
        <v>6012</v>
      </c>
      <c r="X389" t="s">
        <v>6013</v>
      </c>
      <c r="Y389" t="s">
        <v>6014</v>
      </c>
      <c r="Z389" t="s">
        <v>6015</v>
      </c>
      <c r="AA389" t="s">
        <v>3738</v>
      </c>
      <c r="AB389" t="s">
        <v>6016</v>
      </c>
      <c r="AC389" t="s">
        <v>74</v>
      </c>
      <c r="AD389" t="s">
        <v>74</v>
      </c>
      <c r="AE389" t="s">
        <v>74</v>
      </c>
      <c r="AF389" t="s">
        <v>74</v>
      </c>
      <c r="AG389">
        <v>57</v>
      </c>
      <c r="AH389">
        <v>131</v>
      </c>
      <c r="AI389">
        <v>138</v>
      </c>
      <c r="AJ389">
        <v>1</v>
      </c>
      <c r="AK389">
        <v>55</v>
      </c>
      <c r="AL389" t="s">
        <v>6017</v>
      </c>
      <c r="AM389" t="s">
        <v>528</v>
      </c>
      <c r="AN389" t="s">
        <v>6018</v>
      </c>
      <c r="AO389" t="s">
        <v>6019</v>
      </c>
      <c r="AP389" t="s">
        <v>6020</v>
      </c>
      <c r="AQ389" t="s">
        <v>74</v>
      </c>
      <c r="AR389" t="s">
        <v>6008</v>
      </c>
      <c r="AS389" t="s">
        <v>3248</v>
      </c>
      <c r="AT389" t="s">
        <v>5640</v>
      </c>
      <c r="AU389">
        <v>2005</v>
      </c>
      <c r="AV389">
        <v>86</v>
      </c>
      <c r="AW389">
        <v>3</v>
      </c>
      <c r="AX389" t="s">
        <v>74</v>
      </c>
      <c r="AY389" t="s">
        <v>74</v>
      </c>
      <c r="AZ389" t="s">
        <v>74</v>
      </c>
      <c r="BA389" t="s">
        <v>74</v>
      </c>
      <c r="BB389">
        <v>619</v>
      </c>
      <c r="BC389">
        <v>625</v>
      </c>
      <c r="BD389" t="s">
        <v>74</v>
      </c>
      <c r="BE389" t="s">
        <v>6021</v>
      </c>
      <c r="BF389" t="str">
        <f>HYPERLINK("http://dx.doi.org/10.1890/04-0620","http://dx.doi.org/10.1890/04-0620")</f>
        <v>http://dx.doi.org/10.1890/04-0620</v>
      </c>
      <c r="BG389" t="s">
        <v>74</v>
      </c>
      <c r="BH389" t="s">
        <v>74</v>
      </c>
      <c r="BI389">
        <v>7</v>
      </c>
      <c r="BJ389" t="s">
        <v>3248</v>
      </c>
      <c r="BK389" t="s">
        <v>95</v>
      </c>
      <c r="BL389" t="s">
        <v>219</v>
      </c>
      <c r="BM389" t="s">
        <v>6022</v>
      </c>
      <c r="BN389" t="s">
        <v>74</v>
      </c>
      <c r="BO389" t="s">
        <v>6023</v>
      </c>
      <c r="BP389" t="s">
        <v>74</v>
      </c>
      <c r="BQ389" t="s">
        <v>74</v>
      </c>
      <c r="BR389" t="s">
        <v>97</v>
      </c>
      <c r="BS389" t="s">
        <v>6024</v>
      </c>
      <c r="BT389" t="str">
        <f>HYPERLINK("https%3A%2F%2Fwww.webofscience.com%2Fwos%2Fwoscc%2Ffull-record%2FWOS:000227659700011","View Full Record in Web of Science")</f>
        <v>View Full Record in Web of Science</v>
      </c>
    </row>
    <row r="390" spans="1:72" x14ac:dyDescent="0.15">
      <c r="A390" t="s">
        <v>72</v>
      </c>
      <c r="B390" t="s">
        <v>6025</v>
      </c>
      <c r="C390" t="s">
        <v>74</v>
      </c>
      <c r="D390" t="s">
        <v>74</v>
      </c>
      <c r="E390" t="s">
        <v>74</v>
      </c>
      <c r="F390" t="s">
        <v>6025</v>
      </c>
      <c r="G390" t="s">
        <v>74</v>
      </c>
      <c r="H390" t="s">
        <v>74</v>
      </c>
      <c r="I390" t="s">
        <v>6026</v>
      </c>
      <c r="J390" t="s">
        <v>6027</v>
      </c>
      <c r="K390" t="s">
        <v>74</v>
      </c>
      <c r="L390" t="s">
        <v>74</v>
      </c>
      <c r="M390" t="s">
        <v>77</v>
      </c>
      <c r="N390" t="s">
        <v>78</v>
      </c>
      <c r="O390" t="s">
        <v>74</v>
      </c>
      <c r="P390" t="s">
        <v>74</v>
      </c>
      <c r="Q390" t="s">
        <v>74</v>
      </c>
      <c r="R390" t="s">
        <v>74</v>
      </c>
      <c r="S390" t="s">
        <v>74</v>
      </c>
      <c r="T390" t="s">
        <v>74</v>
      </c>
      <c r="U390" t="s">
        <v>6028</v>
      </c>
      <c r="V390" t="s">
        <v>6029</v>
      </c>
      <c r="W390" t="s">
        <v>6030</v>
      </c>
      <c r="X390" t="s">
        <v>6031</v>
      </c>
      <c r="Y390" t="s">
        <v>6032</v>
      </c>
      <c r="Z390" t="s">
        <v>6033</v>
      </c>
      <c r="AA390" t="s">
        <v>6034</v>
      </c>
      <c r="AB390" t="s">
        <v>6035</v>
      </c>
      <c r="AC390" t="s">
        <v>74</v>
      </c>
      <c r="AD390" t="s">
        <v>74</v>
      </c>
      <c r="AE390" t="s">
        <v>74</v>
      </c>
      <c r="AF390" t="s">
        <v>74</v>
      </c>
      <c r="AG390">
        <v>45</v>
      </c>
      <c r="AH390">
        <v>12</v>
      </c>
      <c r="AI390">
        <v>12</v>
      </c>
      <c r="AJ390">
        <v>0</v>
      </c>
      <c r="AK390">
        <v>5</v>
      </c>
      <c r="AL390" t="s">
        <v>3227</v>
      </c>
      <c r="AM390" t="s">
        <v>134</v>
      </c>
      <c r="AN390" t="s">
        <v>3228</v>
      </c>
      <c r="AO390" t="s">
        <v>6036</v>
      </c>
      <c r="AP390" t="s">
        <v>6037</v>
      </c>
      <c r="AQ390" t="s">
        <v>74</v>
      </c>
      <c r="AR390" t="s">
        <v>6038</v>
      </c>
      <c r="AS390" t="s">
        <v>6039</v>
      </c>
      <c r="AT390" t="s">
        <v>5640</v>
      </c>
      <c r="AU390">
        <v>2005</v>
      </c>
      <c r="AV390">
        <v>43</v>
      </c>
      <c r="AW390">
        <v>3</v>
      </c>
      <c r="AX390" t="s">
        <v>74</v>
      </c>
      <c r="AY390" t="s">
        <v>74</v>
      </c>
      <c r="AZ390" t="s">
        <v>74</v>
      </c>
      <c r="BA390" t="s">
        <v>74</v>
      </c>
      <c r="BB390">
        <v>222</v>
      </c>
      <c r="BC390">
        <v>241</v>
      </c>
      <c r="BD390" t="s">
        <v>74</v>
      </c>
      <c r="BE390" t="s">
        <v>74</v>
      </c>
      <c r="BF390" t="s">
        <v>74</v>
      </c>
      <c r="BG390" t="s">
        <v>74</v>
      </c>
      <c r="BH390" t="s">
        <v>74</v>
      </c>
      <c r="BI390">
        <v>20</v>
      </c>
      <c r="BJ390" t="s">
        <v>381</v>
      </c>
      <c r="BK390" t="s">
        <v>95</v>
      </c>
      <c r="BL390" t="s">
        <v>381</v>
      </c>
      <c r="BM390" t="s">
        <v>6040</v>
      </c>
      <c r="BN390" t="s">
        <v>74</v>
      </c>
      <c r="BO390" t="s">
        <v>74</v>
      </c>
      <c r="BP390" t="s">
        <v>74</v>
      </c>
      <c r="BQ390" t="s">
        <v>74</v>
      </c>
      <c r="BR390" t="s">
        <v>97</v>
      </c>
      <c r="BS390" t="s">
        <v>6041</v>
      </c>
      <c r="BT390" t="str">
        <f>HYPERLINK("https%3A%2F%2Fwww.webofscience.com%2Fwos%2Fwoscc%2Ffull-record%2FWOS:000228276900002","View Full Record in Web of Science")</f>
        <v>View Full Record in Web of Science</v>
      </c>
    </row>
    <row r="391" spans="1:72" x14ac:dyDescent="0.15">
      <c r="A391" t="s">
        <v>72</v>
      </c>
      <c r="B391" t="s">
        <v>6042</v>
      </c>
      <c r="C391" t="s">
        <v>74</v>
      </c>
      <c r="D391" t="s">
        <v>74</v>
      </c>
      <c r="E391" t="s">
        <v>74</v>
      </c>
      <c r="F391" t="s">
        <v>6042</v>
      </c>
      <c r="G391" t="s">
        <v>74</v>
      </c>
      <c r="H391" t="s">
        <v>74</v>
      </c>
      <c r="I391" t="s">
        <v>6043</v>
      </c>
      <c r="J391" t="s">
        <v>6044</v>
      </c>
      <c r="K391" t="s">
        <v>74</v>
      </c>
      <c r="L391" t="s">
        <v>74</v>
      </c>
      <c r="M391" t="s">
        <v>77</v>
      </c>
      <c r="N391" t="s">
        <v>3561</v>
      </c>
      <c r="O391" t="s">
        <v>74</v>
      </c>
      <c r="P391" t="s">
        <v>74</v>
      </c>
      <c r="Q391" t="s">
        <v>74</v>
      </c>
      <c r="R391" t="s">
        <v>74</v>
      </c>
      <c r="S391" t="s">
        <v>74</v>
      </c>
      <c r="T391" t="s">
        <v>74</v>
      </c>
      <c r="U391" t="s">
        <v>74</v>
      </c>
      <c r="V391" t="s">
        <v>74</v>
      </c>
      <c r="W391" t="s">
        <v>74</v>
      </c>
      <c r="X391" t="s">
        <v>74</v>
      </c>
      <c r="Y391" t="s">
        <v>74</v>
      </c>
      <c r="Z391" t="s">
        <v>74</v>
      </c>
      <c r="AA391" t="s">
        <v>74</v>
      </c>
      <c r="AB391" t="s">
        <v>74</v>
      </c>
      <c r="AC391" t="s">
        <v>74</v>
      </c>
      <c r="AD391" t="s">
        <v>74</v>
      </c>
      <c r="AE391" t="s">
        <v>74</v>
      </c>
      <c r="AF391" t="s">
        <v>74</v>
      </c>
      <c r="AG391">
        <v>1</v>
      </c>
      <c r="AH391">
        <v>0</v>
      </c>
      <c r="AI391">
        <v>0</v>
      </c>
      <c r="AJ391">
        <v>0</v>
      </c>
      <c r="AK391">
        <v>0</v>
      </c>
      <c r="AL391" t="s">
        <v>6045</v>
      </c>
      <c r="AM391" t="s">
        <v>6046</v>
      </c>
      <c r="AN391" t="s">
        <v>6047</v>
      </c>
      <c r="AO391" t="s">
        <v>6048</v>
      </c>
      <c r="AP391" t="s">
        <v>74</v>
      </c>
      <c r="AQ391" t="s">
        <v>74</v>
      </c>
      <c r="AR391" t="s">
        <v>6044</v>
      </c>
      <c r="AS391" t="s">
        <v>6049</v>
      </c>
      <c r="AT391" t="s">
        <v>6050</v>
      </c>
      <c r="AU391">
        <v>2005</v>
      </c>
      <c r="AV391">
        <v>90</v>
      </c>
      <c r="AW391" t="s">
        <v>74</v>
      </c>
      <c r="AX391">
        <v>1</v>
      </c>
      <c r="AY391" t="s">
        <v>74</v>
      </c>
      <c r="AZ391" t="s">
        <v>74</v>
      </c>
      <c r="BA391" t="s">
        <v>74</v>
      </c>
      <c r="BB391">
        <v>101</v>
      </c>
      <c r="BC391">
        <v>101</v>
      </c>
      <c r="BD391" t="s">
        <v>74</v>
      </c>
      <c r="BE391" t="s">
        <v>74</v>
      </c>
      <c r="BF391" t="s">
        <v>74</v>
      </c>
      <c r="BG391" t="s">
        <v>74</v>
      </c>
      <c r="BH391" t="s">
        <v>74</v>
      </c>
      <c r="BI391">
        <v>1</v>
      </c>
      <c r="BJ391" t="s">
        <v>6049</v>
      </c>
      <c r="BK391" t="s">
        <v>340</v>
      </c>
      <c r="BL391" t="s">
        <v>6049</v>
      </c>
      <c r="BM391" t="s">
        <v>6051</v>
      </c>
      <c r="BN391" t="s">
        <v>74</v>
      </c>
      <c r="BO391" t="s">
        <v>74</v>
      </c>
      <c r="BP391" t="s">
        <v>74</v>
      </c>
      <c r="BQ391" t="s">
        <v>74</v>
      </c>
      <c r="BR391" t="s">
        <v>97</v>
      </c>
      <c r="BS391" t="s">
        <v>6052</v>
      </c>
      <c r="BT391" t="str">
        <f>HYPERLINK("https%3A%2F%2Fwww.webofscience.com%2Fwos%2Fwoscc%2Ffull-record%2FWOS:000227125700015","View Full Record in Web of Science")</f>
        <v>View Full Record in Web of Science</v>
      </c>
    </row>
    <row r="392" spans="1:72" x14ac:dyDescent="0.15">
      <c r="A392" t="s">
        <v>72</v>
      </c>
      <c r="B392" t="s">
        <v>6053</v>
      </c>
      <c r="C392" t="s">
        <v>74</v>
      </c>
      <c r="D392" t="s">
        <v>74</v>
      </c>
      <c r="E392" t="s">
        <v>74</v>
      </c>
      <c r="F392" t="s">
        <v>6053</v>
      </c>
      <c r="G392" t="s">
        <v>74</v>
      </c>
      <c r="H392" t="s">
        <v>74</v>
      </c>
      <c r="I392" t="s">
        <v>6054</v>
      </c>
      <c r="J392" t="s">
        <v>1621</v>
      </c>
      <c r="K392" t="s">
        <v>74</v>
      </c>
      <c r="L392" t="s">
        <v>74</v>
      </c>
      <c r="M392" t="s">
        <v>77</v>
      </c>
      <c r="N392" t="s">
        <v>78</v>
      </c>
      <c r="O392" t="s">
        <v>74</v>
      </c>
      <c r="P392" t="s">
        <v>74</v>
      </c>
      <c r="Q392" t="s">
        <v>74</v>
      </c>
      <c r="R392" t="s">
        <v>74</v>
      </c>
      <c r="S392" t="s">
        <v>74</v>
      </c>
      <c r="T392" t="s">
        <v>6055</v>
      </c>
      <c r="U392" t="s">
        <v>6056</v>
      </c>
      <c r="V392" t="s">
        <v>6057</v>
      </c>
      <c r="W392" t="s">
        <v>6058</v>
      </c>
      <c r="X392" t="s">
        <v>6059</v>
      </c>
      <c r="Y392" t="s">
        <v>6060</v>
      </c>
      <c r="Z392" t="s">
        <v>74</v>
      </c>
      <c r="AA392" t="s">
        <v>3960</v>
      </c>
      <c r="AB392" t="s">
        <v>6061</v>
      </c>
      <c r="AC392" t="s">
        <v>6062</v>
      </c>
      <c r="AD392" t="s">
        <v>6063</v>
      </c>
      <c r="AE392" t="s">
        <v>74</v>
      </c>
      <c r="AF392" t="s">
        <v>74</v>
      </c>
      <c r="AG392">
        <v>24</v>
      </c>
      <c r="AH392">
        <v>83</v>
      </c>
      <c r="AI392">
        <v>95</v>
      </c>
      <c r="AJ392">
        <v>4</v>
      </c>
      <c r="AK392">
        <v>18</v>
      </c>
      <c r="AL392" t="s">
        <v>4573</v>
      </c>
      <c r="AM392" t="s">
        <v>1630</v>
      </c>
      <c r="AN392" t="s">
        <v>1631</v>
      </c>
      <c r="AO392" t="s">
        <v>1632</v>
      </c>
      <c r="AP392" t="s">
        <v>74</v>
      </c>
      <c r="AQ392" t="s">
        <v>74</v>
      </c>
      <c r="AR392" t="s">
        <v>1621</v>
      </c>
      <c r="AS392" t="s">
        <v>307</v>
      </c>
      <c r="AT392" t="s">
        <v>5640</v>
      </c>
      <c r="AU392">
        <v>2005</v>
      </c>
      <c r="AV392">
        <v>33</v>
      </c>
      <c r="AW392">
        <v>3</v>
      </c>
      <c r="AX392" t="s">
        <v>74</v>
      </c>
      <c r="AY392" t="s">
        <v>74</v>
      </c>
      <c r="AZ392" t="s">
        <v>74</v>
      </c>
      <c r="BA392" t="s">
        <v>74</v>
      </c>
      <c r="BB392">
        <v>173</v>
      </c>
      <c r="BC392">
        <v>176</v>
      </c>
      <c r="BD392" t="s">
        <v>74</v>
      </c>
      <c r="BE392" t="s">
        <v>6064</v>
      </c>
      <c r="BF392" t="str">
        <f>HYPERLINK("http://dx.doi.org/10.1130/G21203.1","http://dx.doi.org/10.1130/G21203.1")</f>
        <v>http://dx.doi.org/10.1130/G21203.1</v>
      </c>
      <c r="BG392" t="s">
        <v>74</v>
      </c>
      <c r="BH392" t="s">
        <v>74</v>
      </c>
      <c r="BI392">
        <v>4</v>
      </c>
      <c r="BJ392" t="s">
        <v>307</v>
      </c>
      <c r="BK392" t="s">
        <v>95</v>
      </c>
      <c r="BL392" t="s">
        <v>307</v>
      </c>
      <c r="BM392" t="s">
        <v>6065</v>
      </c>
      <c r="BN392" t="s">
        <v>74</v>
      </c>
      <c r="BO392" t="s">
        <v>74</v>
      </c>
      <c r="BP392" t="s">
        <v>74</v>
      </c>
      <c r="BQ392" t="s">
        <v>74</v>
      </c>
      <c r="BR392" t="s">
        <v>97</v>
      </c>
      <c r="BS392" t="s">
        <v>6066</v>
      </c>
      <c r="BT392" t="str">
        <f>HYPERLINK("https%3A%2F%2Fwww.webofscience.com%2Fwos%2Fwoscc%2Ffull-record%2FWOS:000227488100004","View Full Record in Web of Science")</f>
        <v>View Full Record in Web of Science</v>
      </c>
    </row>
    <row r="393" spans="1:72" x14ac:dyDescent="0.15">
      <c r="A393" t="s">
        <v>72</v>
      </c>
      <c r="B393" t="s">
        <v>6067</v>
      </c>
      <c r="C393" t="s">
        <v>74</v>
      </c>
      <c r="D393" t="s">
        <v>74</v>
      </c>
      <c r="E393" t="s">
        <v>74</v>
      </c>
      <c r="F393" t="s">
        <v>6067</v>
      </c>
      <c r="G393" t="s">
        <v>74</v>
      </c>
      <c r="H393" t="s">
        <v>74</v>
      </c>
      <c r="I393" t="s">
        <v>6068</v>
      </c>
      <c r="J393" t="s">
        <v>1621</v>
      </c>
      <c r="K393" t="s">
        <v>74</v>
      </c>
      <c r="L393" t="s">
        <v>74</v>
      </c>
      <c r="M393" t="s">
        <v>77</v>
      </c>
      <c r="N393" t="s">
        <v>78</v>
      </c>
      <c r="O393" t="s">
        <v>74</v>
      </c>
      <c r="P393" t="s">
        <v>74</v>
      </c>
      <c r="Q393" t="s">
        <v>74</v>
      </c>
      <c r="R393" t="s">
        <v>74</v>
      </c>
      <c r="S393" t="s">
        <v>74</v>
      </c>
      <c r="T393" t="s">
        <v>6069</v>
      </c>
      <c r="U393" t="s">
        <v>6070</v>
      </c>
      <c r="V393" t="s">
        <v>6071</v>
      </c>
      <c r="W393" t="s">
        <v>6072</v>
      </c>
      <c r="X393" t="s">
        <v>6073</v>
      </c>
      <c r="Y393" t="s">
        <v>6074</v>
      </c>
      <c r="Z393" t="s">
        <v>74</v>
      </c>
      <c r="AA393" t="s">
        <v>74</v>
      </c>
      <c r="AB393" t="s">
        <v>74</v>
      </c>
      <c r="AC393" t="s">
        <v>74</v>
      </c>
      <c r="AD393" t="s">
        <v>74</v>
      </c>
      <c r="AE393" t="s">
        <v>74</v>
      </c>
      <c r="AF393" t="s">
        <v>74</v>
      </c>
      <c r="AG393">
        <v>24</v>
      </c>
      <c r="AH393">
        <v>68</v>
      </c>
      <c r="AI393">
        <v>77</v>
      </c>
      <c r="AJ393">
        <v>0</v>
      </c>
      <c r="AK393">
        <v>23</v>
      </c>
      <c r="AL393" t="s">
        <v>1629</v>
      </c>
      <c r="AM393" t="s">
        <v>1630</v>
      </c>
      <c r="AN393" t="s">
        <v>1631</v>
      </c>
      <c r="AO393" t="s">
        <v>1632</v>
      </c>
      <c r="AP393" t="s">
        <v>1633</v>
      </c>
      <c r="AQ393" t="s">
        <v>74</v>
      </c>
      <c r="AR393" t="s">
        <v>1621</v>
      </c>
      <c r="AS393" t="s">
        <v>307</v>
      </c>
      <c r="AT393" t="s">
        <v>5640</v>
      </c>
      <c r="AU393">
        <v>2005</v>
      </c>
      <c r="AV393">
        <v>33</v>
      </c>
      <c r="AW393">
        <v>3</v>
      </c>
      <c r="AX393" t="s">
        <v>74</v>
      </c>
      <c r="AY393" t="s">
        <v>74</v>
      </c>
      <c r="AZ393" t="s">
        <v>74</v>
      </c>
      <c r="BA393" t="s">
        <v>74</v>
      </c>
      <c r="BB393">
        <v>189</v>
      </c>
      <c r="BC393">
        <v>192</v>
      </c>
      <c r="BD393" t="s">
        <v>74</v>
      </c>
      <c r="BE393" t="s">
        <v>6075</v>
      </c>
      <c r="BF393" t="str">
        <f>HYPERLINK("http://dx.doi.org/10.1130/G21019.1","http://dx.doi.org/10.1130/G21019.1")</f>
        <v>http://dx.doi.org/10.1130/G21019.1</v>
      </c>
      <c r="BG393" t="s">
        <v>74</v>
      </c>
      <c r="BH393" t="s">
        <v>74</v>
      </c>
      <c r="BI393">
        <v>4</v>
      </c>
      <c r="BJ393" t="s">
        <v>307</v>
      </c>
      <c r="BK393" t="s">
        <v>95</v>
      </c>
      <c r="BL393" t="s">
        <v>307</v>
      </c>
      <c r="BM393" t="s">
        <v>6065</v>
      </c>
      <c r="BN393" t="s">
        <v>74</v>
      </c>
      <c r="BO393" t="s">
        <v>74</v>
      </c>
      <c r="BP393" t="s">
        <v>74</v>
      </c>
      <c r="BQ393" t="s">
        <v>74</v>
      </c>
      <c r="BR393" t="s">
        <v>97</v>
      </c>
      <c r="BS393" t="s">
        <v>6076</v>
      </c>
      <c r="BT393" t="str">
        <f>HYPERLINK("https%3A%2F%2Fwww.webofscience.com%2Fwos%2Fwoscc%2Ffull-record%2FWOS:000227488100008","View Full Record in Web of Science")</f>
        <v>View Full Record in Web of Science</v>
      </c>
    </row>
    <row r="394" spans="1:72" x14ac:dyDescent="0.15">
      <c r="A394" t="s">
        <v>72</v>
      </c>
      <c r="B394" t="s">
        <v>6077</v>
      </c>
      <c r="C394" t="s">
        <v>74</v>
      </c>
      <c r="D394" t="s">
        <v>74</v>
      </c>
      <c r="E394" t="s">
        <v>74</v>
      </c>
      <c r="F394" t="s">
        <v>6077</v>
      </c>
      <c r="G394" t="s">
        <v>74</v>
      </c>
      <c r="H394" t="s">
        <v>74</v>
      </c>
      <c r="I394" t="s">
        <v>6078</v>
      </c>
      <c r="J394" t="s">
        <v>1621</v>
      </c>
      <c r="K394" t="s">
        <v>74</v>
      </c>
      <c r="L394" t="s">
        <v>74</v>
      </c>
      <c r="M394" t="s">
        <v>77</v>
      </c>
      <c r="N394" t="s">
        <v>78</v>
      </c>
      <c r="O394" t="s">
        <v>74</v>
      </c>
      <c r="P394" t="s">
        <v>74</v>
      </c>
      <c r="Q394" t="s">
        <v>74</v>
      </c>
      <c r="R394" t="s">
        <v>74</v>
      </c>
      <c r="S394" t="s">
        <v>74</v>
      </c>
      <c r="T394" t="s">
        <v>6079</v>
      </c>
      <c r="U394" t="s">
        <v>6080</v>
      </c>
      <c r="V394" t="s">
        <v>6081</v>
      </c>
      <c r="W394" t="s">
        <v>6082</v>
      </c>
      <c r="X394" t="s">
        <v>5169</v>
      </c>
      <c r="Y394" t="s">
        <v>6083</v>
      </c>
      <c r="Z394" t="s">
        <v>74</v>
      </c>
      <c r="AA394" t="s">
        <v>74</v>
      </c>
      <c r="AB394" t="s">
        <v>6084</v>
      </c>
      <c r="AC394" t="s">
        <v>74</v>
      </c>
      <c r="AD394" t="s">
        <v>74</v>
      </c>
      <c r="AE394" t="s">
        <v>74</v>
      </c>
      <c r="AF394" t="s">
        <v>74</v>
      </c>
      <c r="AG394">
        <v>33</v>
      </c>
      <c r="AH394">
        <v>100</v>
      </c>
      <c r="AI394">
        <v>111</v>
      </c>
      <c r="AJ394">
        <v>3</v>
      </c>
      <c r="AK394">
        <v>40</v>
      </c>
      <c r="AL394" t="s">
        <v>4573</v>
      </c>
      <c r="AM394" t="s">
        <v>1630</v>
      </c>
      <c r="AN394" t="s">
        <v>1631</v>
      </c>
      <c r="AO394" t="s">
        <v>1632</v>
      </c>
      <c r="AP394" t="s">
        <v>74</v>
      </c>
      <c r="AQ394" t="s">
        <v>74</v>
      </c>
      <c r="AR394" t="s">
        <v>1621</v>
      </c>
      <c r="AS394" t="s">
        <v>307</v>
      </c>
      <c r="AT394" t="s">
        <v>5640</v>
      </c>
      <c r="AU394">
        <v>2005</v>
      </c>
      <c r="AV394">
        <v>33</v>
      </c>
      <c r="AW394">
        <v>3</v>
      </c>
      <c r="AX394" t="s">
        <v>74</v>
      </c>
      <c r="AY394" t="s">
        <v>74</v>
      </c>
      <c r="AZ394" t="s">
        <v>74</v>
      </c>
      <c r="BA394" t="s">
        <v>74</v>
      </c>
      <c r="BB394">
        <v>221</v>
      </c>
      <c r="BC394">
        <v>224</v>
      </c>
      <c r="BD394" t="s">
        <v>74</v>
      </c>
      <c r="BE394" t="s">
        <v>6085</v>
      </c>
      <c r="BF394" t="str">
        <f>HYPERLINK("http://dx.doi.org/10.1130/G21068.1","http://dx.doi.org/10.1130/G21068.1")</f>
        <v>http://dx.doi.org/10.1130/G21068.1</v>
      </c>
      <c r="BG394" t="s">
        <v>74</v>
      </c>
      <c r="BH394" t="s">
        <v>74</v>
      </c>
      <c r="BI394">
        <v>4</v>
      </c>
      <c r="BJ394" t="s">
        <v>307</v>
      </c>
      <c r="BK394" t="s">
        <v>95</v>
      </c>
      <c r="BL394" t="s">
        <v>307</v>
      </c>
      <c r="BM394" t="s">
        <v>6065</v>
      </c>
      <c r="BN394" t="s">
        <v>74</v>
      </c>
      <c r="BO394" t="s">
        <v>74</v>
      </c>
      <c r="BP394" t="s">
        <v>74</v>
      </c>
      <c r="BQ394" t="s">
        <v>74</v>
      </c>
      <c r="BR394" t="s">
        <v>97</v>
      </c>
      <c r="BS394" t="s">
        <v>6086</v>
      </c>
      <c r="BT394" t="str">
        <f>HYPERLINK("https%3A%2F%2Fwww.webofscience.com%2Fwos%2Fwoscc%2Ffull-record%2FWOS:000227488100016","View Full Record in Web of Science")</f>
        <v>View Full Record in Web of Science</v>
      </c>
    </row>
    <row r="395" spans="1:72" x14ac:dyDescent="0.15">
      <c r="A395" t="s">
        <v>72</v>
      </c>
      <c r="B395" t="s">
        <v>6087</v>
      </c>
      <c r="C395" t="s">
        <v>74</v>
      </c>
      <c r="D395" t="s">
        <v>74</v>
      </c>
      <c r="E395" t="s">
        <v>74</v>
      </c>
      <c r="F395" t="s">
        <v>6087</v>
      </c>
      <c r="G395" t="s">
        <v>74</v>
      </c>
      <c r="H395" t="s">
        <v>74</v>
      </c>
      <c r="I395" t="s">
        <v>6088</v>
      </c>
      <c r="J395" t="s">
        <v>6089</v>
      </c>
      <c r="K395" t="s">
        <v>74</v>
      </c>
      <c r="L395" t="s">
        <v>74</v>
      </c>
      <c r="M395" t="s">
        <v>77</v>
      </c>
      <c r="N395" t="s">
        <v>5909</v>
      </c>
      <c r="O395" t="s">
        <v>74</v>
      </c>
      <c r="P395" t="s">
        <v>74</v>
      </c>
      <c r="Q395" t="s">
        <v>74</v>
      </c>
      <c r="R395" t="s">
        <v>74</v>
      </c>
      <c r="S395" t="s">
        <v>74</v>
      </c>
      <c r="T395" t="s">
        <v>74</v>
      </c>
      <c r="U395" t="s">
        <v>74</v>
      </c>
      <c r="V395" t="s">
        <v>74</v>
      </c>
      <c r="W395" t="s">
        <v>74</v>
      </c>
      <c r="X395" t="s">
        <v>74</v>
      </c>
      <c r="Y395" t="s">
        <v>74</v>
      </c>
      <c r="Z395" t="s">
        <v>74</v>
      </c>
      <c r="AA395" t="s">
        <v>74</v>
      </c>
      <c r="AB395" t="s">
        <v>74</v>
      </c>
      <c r="AC395" t="s">
        <v>74</v>
      </c>
      <c r="AD395" t="s">
        <v>74</v>
      </c>
      <c r="AE395" t="s">
        <v>74</v>
      </c>
      <c r="AF395" t="s">
        <v>74</v>
      </c>
      <c r="AG395">
        <v>0</v>
      </c>
      <c r="AH395">
        <v>0</v>
      </c>
      <c r="AI395">
        <v>0</v>
      </c>
      <c r="AJ395">
        <v>0</v>
      </c>
      <c r="AK395">
        <v>0</v>
      </c>
      <c r="AL395" t="s">
        <v>6090</v>
      </c>
      <c r="AM395" t="s">
        <v>1263</v>
      </c>
      <c r="AN395" t="s">
        <v>6091</v>
      </c>
      <c r="AO395" t="s">
        <v>6092</v>
      </c>
      <c r="AP395" t="s">
        <v>74</v>
      </c>
      <c r="AQ395" t="s">
        <v>74</v>
      </c>
      <c r="AR395" t="s">
        <v>6089</v>
      </c>
      <c r="AS395" t="s">
        <v>6093</v>
      </c>
      <c r="AT395" t="s">
        <v>5640</v>
      </c>
      <c r="AU395">
        <v>2005</v>
      </c>
      <c r="AV395">
        <v>50</v>
      </c>
      <c r="AW395">
        <v>3</v>
      </c>
      <c r="AX395" t="s">
        <v>74</v>
      </c>
      <c r="AY395" t="s">
        <v>74</v>
      </c>
      <c r="AZ395" t="s">
        <v>74</v>
      </c>
      <c r="BA395" t="s">
        <v>74</v>
      </c>
      <c r="BB395">
        <v>12</v>
      </c>
      <c r="BC395">
        <v>13</v>
      </c>
      <c r="BD395" t="s">
        <v>74</v>
      </c>
      <c r="BE395" t="s">
        <v>74</v>
      </c>
      <c r="BF395" t="s">
        <v>74</v>
      </c>
      <c r="BG395" t="s">
        <v>74</v>
      </c>
      <c r="BH395" t="s">
        <v>74</v>
      </c>
      <c r="BI395">
        <v>2</v>
      </c>
      <c r="BJ395" t="s">
        <v>537</v>
      </c>
      <c r="BK395" t="s">
        <v>95</v>
      </c>
      <c r="BL395" t="s">
        <v>307</v>
      </c>
      <c r="BM395" t="s">
        <v>6094</v>
      </c>
      <c r="BN395" t="s">
        <v>74</v>
      </c>
      <c r="BO395" t="s">
        <v>74</v>
      </c>
      <c r="BP395" t="s">
        <v>74</v>
      </c>
      <c r="BQ395" t="s">
        <v>74</v>
      </c>
      <c r="BR395" t="s">
        <v>97</v>
      </c>
      <c r="BS395" t="s">
        <v>6095</v>
      </c>
      <c r="BT395" t="str">
        <f>HYPERLINK("https%3A%2F%2Fwww.webofscience.com%2Fwos%2Fwoscc%2Ffull-record%2FWOS:000227605800012","View Full Record in Web of Science")</f>
        <v>View Full Record in Web of Science</v>
      </c>
    </row>
    <row r="396" spans="1:72" x14ac:dyDescent="0.15">
      <c r="A396" t="s">
        <v>72</v>
      </c>
      <c r="B396" t="s">
        <v>6096</v>
      </c>
      <c r="C396" t="s">
        <v>74</v>
      </c>
      <c r="D396" t="s">
        <v>74</v>
      </c>
      <c r="E396" t="s">
        <v>74</v>
      </c>
      <c r="F396" t="s">
        <v>6096</v>
      </c>
      <c r="G396" t="s">
        <v>74</v>
      </c>
      <c r="H396" t="s">
        <v>74</v>
      </c>
      <c r="I396" t="s">
        <v>6097</v>
      </c>
      <c r="J396" t="s">
        <v>6098</v>
      </c>
      <c r="K396" t="s">
        <v>74</v>
      </c>
      <c r="L396" t="s">
        <v>74</v>
      </c>
      <c r="M396" t="s">
        <v>77</v>
      </c>
      <c r="N396" t="s">
        <v>78</v>
      </c>
      <c r="O396" t="s">
        <v>74</v>
      </c>
      <c r="P396" t="s">
        <v>74</v>
      </c>
      <c r="Q396" t="s">
        <v>74</v>
      </c>
      <c r="R396" t="s">
        <v>74</v>
      </c>
      <c r="S396" t="s">
        <v>74</v>
      </c>
      <c r="T396" t="s">
        <v>6099</v>
      </c>
      <c r="U396" t="s">
        <v>6100</v>
      </c>
      <c r="V396" t="s">
        <v>6101</v>
      </c>
      <c r="W396" t="s">
        <v>6102</v>
      </c>
      <c r="X396" t="s">
        <v>6103</v>
      </c>
      <c r="Y396" t="s">
        <v>6104</v>
      </c>
      <c r="Z396" t="s">
        <v>6105</v>
      </c>
      <c r="AA396" t="s">
        <v>6106</v>
      </c>
      <c r="AB396" t="s">
        <v>6107</v>
      </c>
      <c r="AC396" t="s">
        <v>74</v>
      </c>
      <c r="AD396" t="s">
        <v>74</v>
      </c>
      <c r="AE396" t="s">
        <v>74</v>
      </c>
      <c r="AF396" t="s">
        <v>74</v>
      </c>
      <c r="AG396">
        <v>61</v>
      </c>
      <c r="AH396">
        <v>67</v>
      </c>
      <c r="AI396">
        <v>80</v>
      </c>
      <c r="AJ396">
        <v>0</v>
      </c>
      <c r="AK396">
        <v>32</v>
      </c>
      <c r="AL396" t="s">
        <v>472</v>
      </c>
      <c r="AM396" t="s">
        <v>473</v>
      </c>
      <c r="AN396" t="s">
        <v>474</v>
      </c>
      <c r="AO396" t="s">
        <v>6108</v>
      </c>
      <c r="AP396" t="s">
        <v>6109</v>
      </c>
      <c r="AQ396" t="s">
        <v>74</v>
      </c>
      <c r="AR396" t="s">
        <v>6110</v>
      </c>
      <c r="AS396" t="s">
        <v>6111</v>
      </c>
      <c r="AT396" t="s">
        <v>5640</v>
      </c>
      <c r="AU396">
        <v>2005</v>
      </c>
      <c r="AV396">
        <v>11</v>
      </c>
      <c r="AW396">
        <v>3</v>
      </c>
      <c r="AX396" t="s">
        <v>74</v>
      </c>
      <c r="AY396" t="s">
        <v>74</v>
      </c>
      <c r="AZ396" t="s">
        <v>74</v>
      </c>
      <c r="BA396" t="s">
        <v>74</v>
      </c>
      <c r="BB396">
        <v>476</v>
      </c>
      <c r="BC396">
        <v>489</v>
      </c>
      <c r="BD396" t="s">
        <v>74</v>
      </c>
      <c r="BE396" t="s">
        <v>6112</v>
      </c>
      <c r="BF396" t="str">
        <f>HYPERLINK("http://dx.doi.org/10.1111/j.1365-2486.2005.00911.x","http://dx.doi.org/10.1111/j.1365-2486.2005.00911.x")</f>
        <v>http://dx.doi.org/10.1111/j.1365-2486.2005.00911.x</v>
      </c>
      <c r="BG396" t="s">
        <v>74</v>
      </c>
      <c r="BH396" t="s">
        <v>74</v>
      </c>
      <c r="BI396">
        <v>14</v>
      </c>
      <c r="BJ396" t="s">
        <v>6113</v>
      </c>
      <c r="BK396" t="s">
        <v>95</v>
      </c>
      <c r="BL396" t="s">
        <v>141</v>
      </c>
      <c r="BM396" t="s">
        <v>6114</v>
      </c>
      <c r="BN396" t="s">
        <v>74</v>
      </c>
      <c r="BO396" t="s">
        <v>74</v>
      </c>
      <c r="BP396" t="s">
        <v>74</v>
      </c>
      <c r="BQ396" t="s">
        <v>74</v>
      </c>
      <c r="BR396" t="s">
        <v>97</v>
      </c>
      <c r="BS396" t="s">
        <v>6115</v>
      </c>
      <c r="BT396" t="str">
        <f>HYPERLINK("https%3A%2F%2Fwww.webofscience.com%2Fwos%2Fwoscc%2Ffull-record%2FWOS:000227837000008","View Full Record in Web of Science")</f>
        <v>View Full Record in Web of Science</v>
      </c>
    </row>
    <row r="397" spans="1:72" x14ac:dyDescent="0.15">
      <c r="A397" t="s">
        <v>72</v>
      </c>
      <c r="B397" t="s">
        <v>6116</v>
      </c>
      <c r="C397" t="s">
        <v>74</v>
      </c>
      <c r="D397" t="s">
        <v>74</v>
      </c>
      <c r="E397" t="s">
        <v>74</v>
      </c>
      <c r="F397" t="s">
        <v>6116</v>
      </c>
      <c r="G397" t="s">
        <v>74</v>
      </c>
      <c r="H397" t="s">
        <v>74</v>
      </c>
      <c r="I397" t="s">
        <v>6117</v>
      </c>
      <c r="J397" t="s">
        <v>6118</v>
      </c>
      <c r="K397" t="s">
        <v>74</v>
      </c>
      <c r="L397" t="s">
        <v>74</v>
      </c>
      <c r="M397" t="s">
        <v>77</v>
      </c>
      <c r="N397" t="s">
        <v>78</v>
      </c>
      <c r="O397" t="s">
        <v>74</v>
      </c>
      <c r="P397" t="s">
        <v>74</v>
      </c>
      <c r="Q397" t="s">
        <v>74</v>
      </c>
      <c r="R397" t="s">
        <v>74</v>
      </c>
      <c r="S397" t="s">
        <v>74</v>
      </c>
      <c r="T397" t="s">
        <v>6119</v>
      </c>
      <c r="U397" t="s">
        <v>6120</v>
      </c>
      <c r="V397" t="s">
        <v>6121</v>
      </c>
      <c r="W397" t="s">
        <v>6122</v>
      </c>
      <c r="X397" t="s">
        <v>6123</v>
      </c>
      <c r="Y397" t="s">
        <v>6124</v>
      </c>
      <c r="Z397" t="s">
        <v>6125</v>
      </c>
      <c r="AA397" t="s">
        <v>74</v>
      </c>
      <c r="AB397" t="s">
        <v>6126</v>
      </c>
      <c r="AC397" t="s">
        <v>74</v>
      </c>
      <c r="AD397" t="s">
        <v>74</v>
      </c>
      <c r="AE397" t="s">
        <v>74</v>
      </c>
      <c r="AF397" t="s">
        <v>74</v>
      </c>
      <c r="AG397">
        <v>33</v>
      </c>
      <c r="AH397">
        <v>20</v>
      </c>
      <c r="AI397">
        <v>21</v>
      </c>
      <c r="AJ397">
        <v>0</v>
      </c>
      <c r="AK397">
        <v>6</v>
      </c>
      <c r="AL397" t="s">
        <v>6118</v>
      </c>
      <c r="AM397" t="s">
        <v>6127</v>
      </c>
      <c r="AN397" t="s">
        <v>6128</v>
      </c>
      <c r="AO397" t="s">
        <v>6129</v>
      </c>
      <c r="AP397" t="s">
        <v>74</v>
      </c>
      <c r="AQ397" t="s">
        <v>74</v>
      </c>
      <c r="AR397" t="s">
        <v>6118</v>
      </c>
      <c r="AS397" t="s">
        <v>6130</v>
      </c>
      <c r="AT397" t="s">
        <v>5640</v>
      </c>
      <c r="AU397">
        <v>2005</v>
      </c>
      <c r="AV397">
        <v>30</v>
      </c>
      <c r="AW397">
        <v>3</v>
      </c>
      <c r="AX397" t="s">
        <v>74</v>
      </c>
      <c r="AY397" t="s">
        <v>74</v>
      </c>
      <c r="AZ397" t="s">
        <v>74</v>
      </c>
      <c r="BA397" t="s">
        <v>74</v>
      </c>
      <c r="BB397">
        <v>120</v>
      </c>
      <c r="BC397" t="s">
        <v>6131</v>
      </c>
      <c r="BD397" t="s">
        <v>74</v>
      </c>
      <c r="BE397" t="s">
        <v>74</v>
      </c>
      <c r="BF397" t="s">
        <v>74</v>
      </c>
      <c r="BG397" t="s">
        <v>74</v>
      </c>
      <c r="BH397" t="s">
        <v>74</v>
      </c>
      <c r="BI397">
        <v>7</v>
      </c>
      <c r="BJ397" t="s">
        <v>3248</v>
      </c>
      <c r="BK397" t="s">
        <v>95</v>
      </c>
      <c r="BL397" t="s">
        <v>219</v>
      </c>
      <c r="BM397" t="s">
        <v>6132</v>
      </c>
      <c r="BN397" t="s">
        <v>74</v>
      </c>
      <c r="BO397" t="s">
        <v>74</v>
      </c>
      <c r="BP397" t="s">
        <v>74</v>
      </c>
      <c r="BQ397" t="s">
        <v>74</v>
      </c>
      <c r="BR397" t="s">
        <v>97</v>
      </c>
      <c r="BS397" t="s">
        <v>6133</v>
      </c>
      <c r="BT397" t="str">
        <f>HYPERLINK("https%3A%2F%2Fwww.webofscience.com%2Fwos%2Fwoscc%2Ffull-record%2FWOS:000228313100002","View Full Record in Web of Science")</f>
        <v>View Full Record in Web of Science</v>
      </c>
    </row>
    <row r="398" spans="1:72" x14ac:dyDescent="0.15">
      <c r="A398" t="s">
        <v>72</v>
      </c>
      <c r="B398" t="s">
        <v>6134</v>
      </c>
      <c r="C398" t="s">
        <v>74</v>
      </c>
      <c r="D398" t="s">
        <v>74</v>
      </c>
      <c r="E398" t="s">
        <v>74</v>
      </c>
      <c r="F398" t="s">
        <v>6134</v>
      </c>
      <c r="G398" t="s">
        <v>74</v>
      </c>
      <c r="H398" t="s">
        <v>74</v>
      </c>
      <c r="I398" t="s">
        <v>6135</v>
      </c>
      <c r="J398" t="s">
        <v>6136</v>
      </c>
      <c r="K398" t="s">
        <v>74</v>
      </c>
      <c r="L398" t="s">
        <v>74</v>
      </c>
      <c r="M398" t="s">
        <v>77</v>
      </c>
      <c r="N398" t="s">
        <v>495</v>
      </c>
      <c r="O398" t="s">
        <v>6137</v>
      </c>
      <c r="P398" t="s">
        <v>6138</v>
      </c>
      <c r="Q398" t="s">
        <v>6139</v>
      </c>
      <c r="R398" t="s">
        <v>74</v>
      </c>
      <c r="S398" t="s">
        <v>6140</v>
      </c>
      <c r="T398" t="s">
        <v>6141</v>
      </c>
      <c r="U398" t="s">
        <v>74</v>
      </c>
      <c r="V398" t="s">
        <v>6142</v>
      </c>
      <c r="W398" t="s">
        <v>6143</v>
      </c>
      <c r="X398" t="s">
        <v>5999</v>
      </c>
      <c r="Y398" t="s">
        <v>6144</v>
      </c>
      <c r="Z398" t="s">
        <v>74</v>
      </c>
      <c r="AA398" t="s">
        <v>6145</v>
      </c>
      <c r="AB398" t="s">
        <v>74</v>
      </c>
      <c r="AC398" t="s">
        <v>74</v>
      </c>
      <c r="AD398" t="s">
        <v>74</v>
      </c>
      <c r="AE398" t="s">
        <v>74</v>
      </c>
      <c r="AF398" t="s">
        <v>74</v>
      </c>
      <c r="AG398">
        <v>14</v>
      </c>
      <c r="AH398">
        <v>2</v>
      </c>
      <c r="AI398">
        <v>2</v>
      </c>
      <c r="AJ398">
        <v>0</v>
      </c>
      <c r="AK398">
        <v>2</v>
      </c>
      <c r="AL398" t="s">
        <v>6146</v>
      </c>
      <c r="AM398" t="s">
        <v>6147</v>
      </c>
      <c r="AN398" t="s">
        <v>6148</v>
      </c>
      <c r="AO398" t="s">
        <v>6149</v>
      </c>
      <c r="AP398" t="s">
        <v>74</v>
      </c>
      <c r="AQ398" t="s">
        <v>74</v>
      </c>
      <c r="AR398" t="s">
        <v>6150</v>
      </c>
      <c r="AS398" t="s">
        <v>6151</v>
      </c>
      <c r="AT398" t="s">
        <v>5640</v>
      </c>
      <c r="AU398">
        <v>2005</v>
      </c>
      <c r="AV398">
        <v>15</v>
      </c>
      <c r="AW398">
        <v>1</v>
      </c>
      <c r="AX398" t="s">
        <v>74</v>
      </c>
      <c r="AY398" t="s">
        <v>74</v>
      </c>
      <c r="AZ398" t="s">
        <v>74</v>
      </c>
      <c r="BA398" t="s">
        <v>74</v>
      </c>
      <c r="BB398">
        <v>28</v>
      </c>
      <c r="BC398">
        <v>33</v>
      </c>
      <c r="BD398" t="s">
        <v>74</v>
      </c>
      <c r="BE398" t="s">
        <v>74</v>
      </c>
      <c r="BF398" t="s">
        <v>74</v>
      </c>
      <c r="BG398" t="s">
        <v>74</v>
      </c>
      <c r="BH398" t="s">
        <v>74</v>
      </c>
      <c r="BI398">
        <v>6</v>
      </c>
      <c r="BJ398" t="s">
        <v>6152</v>
      </c>
      <c r="BK398" t="s">
        <v>514</v>
      </c>
      <c r="BL398" t="s">
        <v>551</v>
      </c>
      <c r="BM398" t="s">
        <v>6153</v>
      </c>
      <c r="BN398" t="s">
        <v>74</v>
      </c>
      <c r="BO398" t="s">
        <v>74</v>
      </c>
      <c r="BP398" t="s">
        <v>74</v>
      </c>
      <c r="BQ398" t="s">
        <v>74</v>
      </c>
      <c r="BR398" t="s">
        <v>97</v>
      </c>
      <c r="BS398" t="s">
        <v>6154</v>
      </c>
      <c r="BT398" t="str">
        <f>HYPERLINK("https%3A%2F%2Fwww.webofscience.com%2Fwos%2Fwoscc%2Ffull-record%2FWOS:000227484000005","View Full Record in Web of Science")</f>
        <v>View Full Record in Web of Science</v>
      </c>
    </row>
    <row r="399" spans="1:72" x14ac:dyDescent="0.15">
      <c r="A399" t="s">
        <v>72</v>
      </c>
      <c r="B399" t="s">
        <v>6155</v>
      </c>
      <c r="C399" t="s">
        <v>74</v>
      </c>
      <c r="D399" t="s">
        <v>74</v>
      </c>
      <c r="E399" t="s">
        <v>74</v>
      </c>
      <c r="F399" t="s">
        <v>6155</v>
      </c>
      <c r="G399" t="s">
        <v>74</v>
      </c>
      <c r="H399" t="s">
        <v>74</v>
      </c>
      <c r="I399" t="s">
        <v>6156</v>
      </c>
      <c r="J399" t="s">
        <v>3448</v>
      </c>
      <c r="K399" t="s">
        <v>74</v>
      </c>
      <c r="L399" t="s">
        <v>74</v>
      </c>
      <c r="M399" t="s">
        <v>77</v>
      </c>
      <c r="N399" t="s">
        <v>78</v>
      </c>
      <c r="O399" t="s">
        <v>74</v>
      </c>
      <c r="P399" t="s">
        <v>74</v>
      </c>
      <c r="Q399" t="s">
        <v>74</v>
      </c>
      <c r="R399" t="s">
        <v>74</v>
      </c>
      <c r="S399" t="s">
        <v>74</v>
      </c>
      <c r="T399" t="s">
        <v>74</v>
      </c>
      <c r="U399" t="s">
        <v>6157</v>
      </c>
      <c r="V399" t="s">
        <v>6158</v>
      </c>
      <c r="W399" t="s">
        <v>6159</v>
      </c>
      <c r="X399" t="s">
        <v>6160</v>
      </c>
      <c r="Y399" t="s">
        <v>6161</v>
      </c>
      <c r="Z399" t="s">
        <v>6162</v>
      </c>
      <c r="AA399" t="s">
        <v>6163</v>
      </c>
      <c r="AB399" t="s">
        <v>6164</v>
      </c>
      <c r="AC399" t="s">
        <v>74</v>
      </c>
      <c r="AD399" t="s">
        <v>74</v>
      </c>
      <c r="AE399" t="s">
        <v>74</v>
      </c>
      <c r="AF399" t="s">
        <v>74</v>
      </c>
      <c r="AG399">
        <v>24</v>
      </c>
      <c r="AH399">
        <v>16</v>
      </c>
      <c r="AI399">
        <v>18</v>
      </c>
      <c r="AJ399">
        <v>0</v>
      </c>
      <c r="AK399">
        <v>5</v>
      </c>
      <c r="AL399" t="s">
        <v>6165</v>
      </c>
      <c r="AM399" t="s">
        <v>5095</v>
      </c>
      <c r="AN399" t="s">
        <v>6166</v>
      </c>
      <c r="AO399" t="s">
        <v>3459</v>
      </c>
      <c r="AP399" t="s">
        <v>74</v>
      </c>
      <c r="AQ399" t="s">
        <v>74</v>
      </c>
      <c r="AR399" t="s">
        <v>3461</v>
      </c>
      <c r="AS399" t="s">
        <v>3462</v>
      </c>
      <c r="AT399" t="s">
        <v>5640</v>
      </c>
      <c r="AU399">
        <v>2005</v>
      </c>
      <c r="AV399">
        <v>55</v>
      </c>
      <c r="AW399" t="s">
        <v>74</v>
      </c>
      <c r="AX399">
        <v>2</v>
      </c>
      <c r="AY399" t="s">
        <v>74</v>
      </c>
      <c r="AZ399" t="s">
        <v>74</v>
      </c>
      <c r="BA399" t="s">
        <v>74</v>
      </c>
      <c r="BB399">
        <v>631</v>
      </c>
      <c r="BC399">
        <v>636</v>
      </c>
      <c r="BD399" t="s">
        <v>74</v>
      </c>
      <c r="BE399" t="s">
        <v>6167</v>
      </c>
      <c r="BF399" t="str">
        <f>HYPERLINK("http://dx.doi.org/10.1099/ijs.0.63442-0","http://dx.doi.org/10.1099/ijs.0.63442-0")</f>
        <v>http://dx.doi.org/10.1099/ijs.0.63442-0</v>
      </c>
      <c r="BG399" t="s">
        <v>74</v>
      </c>
      <c r="BH399" t="s">
        <v>74</v>
      </c>
      <c r="BI399">
        <v>6</v>
      </c>
      <c r="BJ399" t="s">
        <v>1507</v>
      </c>
      <c r="BK399" t="s">
        <v>95</v>
      </c>
      <c r="BL399" t="s">
        <v>1507</v>
      </c>
      <c r="BM399" t="s">
        <v>6168</v>
      </c>
      <c r="BN399">
        <v>15774635</v>
      </c>
      <c r="BO399" t="s">
        <v>539</v>
      </c>
      <c r="BP399" t="s">
        <v>74</v>
      </c>
      <c r="BQ399" t="s">
        <v>74</v>
      </c>
      <c r="BR399" t="s">
        <v>97</v>
      </c>
      <c r="BS399" t="s">
        <v>6169</v>
      </c>
      <c r="BT399" t="str">
        <f>HYPERLINK("https%3A%2F%2Fwww.webofscience.com%2Fwos%2Fwoscc%2Ffull-record%2FWOS:000228093500011","View Full Record in Web of Science")</f>
        <v>View Full Record in Web of Science</v>
      </c>
    </row>
    <row r="400" spans="1:72" x14ac:dyDescent="0.15">
      <c r="A400" t="s">
        <v>72</v>
      </c>
      <c r="B400" t="s">
        <v>6170</v>
      </c>
      <c r="C400" t="s">
        <v>74</v>
      </c>
      <c r="D400" t="s">
        <v>74</v>
      </c>
      <c r="E400" t="s">
        <v>74</v>
      </c>
      <c r="F400" t="s">
        <v>6170</v>
      </c>
      <c r="G400" t="s">
        <v>74</v>
      </c>
      <c r="H400" t="s">
        <v>74</v>
      </c>
      <c r="I400" t="s">
        <v>6171</v>
      </c>
      <c r="J400" t="s">
        <v>3448</v>
      </c>
      <c r="K400" t="s">
        <v>74</v>
      </c>
      <c r="L400" t="s">
        <v>74</v>
      </c>
      <c r="M400" t="s">
        <v>77</v>
      </c>
      <c r="N400" t="s">
        <v>78</v>
      </c>
      <c r="O400" t="s">
        <v>74</v>
      </c>
      <c r="P400" t="s">
        <v>74</v>
      </c>
      <c r="Q400" t="s">
        <v>74</v>
      </c>
      <c r="R400" t="s">
        <v>74</v>
      </c>
      <c r="S400" t="s">
        <v>74</v>
      </c>
      <c r="T400" t="s">
        <v>74</v>
      </c>
      <c r="U400" t="s">
        <v>6172</v>
      </c>
      <c r="V400" t="s">
        <v>6173</v>
      </c>
      <c r="W400" t="s">
        <v>6174</v>
      </c>
      <c r="X400" t="s">
        <v>6175</v>
      </c>
      <c r="Y400" t="s">
        <v>6176</v>
      </c>
      <c r="Z400" t="s">
        <v>6177</v>
      </c>
      <c r="AA400" t="s">
        <v>6178</v>
      </c>
      <c r="AB400" t="s">
        <v>6179</v>
      </c>
      <c r="AC400" t="s">
        <v>74</v>
      </c>
      <c r="AD400" t="s">
        <v>74</v>
      </c>
      <c r="AE400" t="s">
        <v>74</v>
      </c>
      <c r="AF400" t="s">
        <v>74</v>
      </c>
      <c r="AG400">
        <v>26</v>
      </c>
      <c r="AH400">
        <v>71</v>
      </c>
      <c r="AI400">
        <v>74</v>
      </c>
      <c r="AJ400">
        <v>0</v>
      </c>
      <c r="AK400">
        <v>7</v>
      </c>
      <c r="AL400" t="s">
        <v>3457</v>
      </c>
      <c r="AM400" t="s">
        <v>739</v>
      </c>
      <c r="AN400" t="s">
        <v>3458</v>
      </c>
      <c r="AO400" t="s">
        <v>3459</v>
      </c>
      <c r="AP400" t="s">
        <v>3460</v>
      </c>
      <c r="AQ400" t="s">
        <v>74</v>
      </c>
      <c r="AR400" t="s">
        <v>3461</v>
      </c>
      <c r="AS400" t="s">
        <v>3462</v>
      </c>
      <c r="AT400" t="s">
        <v>5640</v>
      </c>
      <c r="AU400">
        <v>2005</v>
      </c>
      <c r="AV400">
        <v>55</v>
      </c>
      <c r="AW400" t="s">
        <v>74</v>
      </c>
      <c r="AX400">
        <v>2</v>
      </c>
      <c r="AY400" t="s">
        <v>74</v>
      </c>
      <c r="AZ400" t="s">
        <v>74</v>
      </c>
      <c r="BA400" t="s">
        <v>74</v>
      </c>
      <c r="BB400">
        <v>637</v>
      </c>
      <c r="BC400">
        <v>641</v>
      </c>
      <c r="BD400" t="s">
        <v>74</v>
      </c>
      <c r="BE400" t="s">
        <v>6180</v>
      </c>
      <c r="BF400" t="str">
        <f>HYPERLINK("http://dx.doi.org/10.1099/ijs.0.63423-0","http://dx.doi.org/10.1099/ijs.0.63423-0")</f>
        <v>http://dx.doi.org/10.1099/ijs.0.63423-0</v>
      </c>
      <c r="BG400" t="s">
        <v>74</v>
      </c>
      <c r="BH400" t="s">
        <v>74</v>
      </c>
      <c r="BI400">
        <v>5</v>
      </c>
      <c r="BJ400" t="s">
        <v>1507</v>
      </c>
      <c r="BK400" t="s">
        <v>95</v>
      </c>
      <c r="BL400" t="s">
        <v>1507</v>
      </c>
      <c r="BM400" t="s">
        <v>6168</v>
      </c>
      <c r="BN400">
        <v>15774636</v>
      </c>
      <c r="BO400" t="s">
        <v>539</v>
      </c>
      <c r="BP400" t="s">
        <v>74</v>
      </c>
      <c r="BQ400" t="s">
        <v>74</v>
      </c>
      <c r="BR400" t="s">
        <v>97</v>
      </c>
      <c r="BS400" t="s">
        <v>6181</v>
      </c>
      <c r="BT400" t="str">
        <f>HYPERLINK("https%3A%2F%2Fwww.webofscience.com%2Fwos%2Fwoscc%2Ffull-record%2FWOS:000228093500012","View Full Record in Web of Science")</f>
        <v>View Full Record in Web of Science</v>
      </c>
    </row>
    <row r="401" spans="1:72" x14ac:dyDescent="0.15">
      <c r="A401" t="s">
        <v>72</v>
      </c>
      <c r="B401" t="s">
        <v>6182</v>
      </c>
      <c r="C401" t="s">
        <v>74</v>
      </c>
      <c r="D401" t="s">
        <v>74</v>
      </c>
      <c r="E401" t="s">
        <v>74</v>
      </c>
      <c r="F401" t="s">
        <v>6182</v>
      </c>
      <c r="G401" t="s">
        <v>74</v>
      </c>
      <c r="H401" t="s">
        <v>74</v>
      </c>
      <c r="I401" t="s">
        <v>6183</v>
      </c>
      <c r="J401" t="s">
        <v>3448</v>
      </c>
      <c r="K401" t="s">
        <v>74</v>
      </c>
      <c r="L401" t="s">
        <v>74</v>
      </c>
      <c r="M401" t="s">
        <v>77</v>
      </c>
      <c r="N401" t="s">
        <v>78</v>
      </c>
      <c r="O401" t="s">
        <v>74</v>
      </c>
      <c r="P401" t="s">
        <v>74</v>
      </c>
      <c r="Q401" t="s">
        <v>74</v>
      </c>
      <c r="R401" t="s">
        <v>74</v>
      </c>
      <c r="S401" t="s">
        <v>74</v>
      </c>
      <c r="T401" t="s">
        <v>74</v>
      </c>
      <c r="U401" t="s">
        <v>6184</v>
      </c>
      <c r="V401" t="s">
        <v>6185</v>
      </c>
      <c r="W401" t="s">
        <v>6186</v>
      </c>
      <c r="X401" t="s">
        <v>5683</v>
      </c>
      <c r="Y401" t="s">
        <v>6187</v>
      </c>
      <c r="Z401" t="s">
        <v>6188</v>
      </c>
      <c r="AA401" t="s">
        <v>6189</v>
      </c>
      <c r="AB401" t="s">
        <v>6190</v>
      </c>
      <c r="AC401" t="s">
        <v>74</v>
      </c>
      <c r="AD401" t="s">
        <v>74</v>
      </c>
      <c r="AE401" t="s">
        <v>74</v>
      </c>
      <c r="AF401" t="s">
        <v>74</v>
      </c>
      <c r="AG401">
        <v>21</v>
      </c>
      <c r="AH401">
        <v>65</v>
      </c>
      <c r="AI401">
        <v>68</v>
      </c>
      <c r="AJ401">
        <v>0</v>
      </c>
      <c r="AK401">
        <v>5</v>
      </c>
      <c r="AL401" t="s">
        <v>3457</v>
      </c>
      <c r="AM401" t="s">
        <v>739</v>
      </c>
      <c r="AN401" t="s">
        <v>3458</v>
      </c>
      <c r="AO401" t="s">
        <v>3459</v>
      </c>
      <c r="AP401" t="s">
        <v>3460</v>
      </c>
      <c r="AQ401" t="s">
        <v>74</v>
      </c>
      <c r="AR401" t="s">
        <v>3461</v>
      </c>
      <c r="AS401" t="s">
        <v>3462</v>
      </c>
      <c r="AT401" t="s">
        <v>5640</v>
      </c>
      <c r="AU401">
        <v>2005</v>
      </c>
      <c r="AV401">
        <v>55</v>
      </c>
      <c r="AW401" t="s">
        <v>74</v>
      </c>
      <c r="AX401">
        <v>2</v>
      </c>
      <c r="AY401" t="s">
        <v>74</v>
      </c>
      <c r="AZ401" t="s">
        <v>74</v>
      </c>
      <c r="BA401" t="s">
        <v>74</v>
      </c>
      <c r="BB401">
        <v>769</v>
      </c>
      <c r="BC401">
        <v>772</v>
      </c>
      <c r="BD401" t="s">
        <v>74</v>
      </c>
      <c r="BE401" t="s">
        <v>6191</v>
      </c>
      <c r="BF401" t="str">
        <f>HYPERLINK("http://dx.doi.org/10.1099/ijs.0.03056-0","http://dx.doi.org/10.1099/ijs.0.03056-0")</f>
        <v>http://dx.doi.org/10.1099/ijs.0.03056-0</v>
      </c>
      <c r="BG401" t="s">
        <v>74</v>
      </c>
      <c r="BH401" t="s">
        <v>74</v>
      </c>
      <c r="BI401">
        <v>4</v>
      </c>
      <c r="BJ401" t="s">
        <v>1507</v>
      </c>
      <c r="BK401" t="s">
        <v>95</v>
      </c>
      <c r="BL401" t="s">
        <v>1507</v>
      </c>
      <c r="BM401" t="s">
        <v>6168</v>
      </c>
      <c r="BN401">
        <v>15774660</v>
      </c>
      <c r="BO401" t="s">
        <v>539</v>
      </c>
      <c r="BP401" t="s">
        <v>74</v>
      </c>
      <c r="BQ401" t="s">
        <v>74</v>
      </c>
      <c r="BR401" t="s">
        <v>97</v>
      </c>
      <c r="BS401" t="s">
        <v>6192</v>
      </c>
      <c r="BT401" t="str">
        <f>HYPERLINK("https%3A%2F%2Fwww.webofscience.com%2Fwos%2Fwoscc%2Ffull-record%2FWOS:000228093500036","View Full Record in Web of Science")</f>
        <v>View Full Record in Web of Science</v>
      </c>
    </row>
    <row r="402" spans="1:72" x14ac:dyDescent="0.15">
      <c r="A402" t="s">
        <v>72</v>
      </c>
      <c r="B402" t="s">
        <v>6193</v>
      </c>
      <c r="C402" t="s">
        <v>74</v>
      </c>
      <c r="D402" t="s">
        <v>74</v>
      </c>
      <c r="E402" t="s">
        <v>74</v>
      </c>
      <c r="F402" t="s">
        <v>6193</v>
      </c>
      <c r="G402" t="s">
        <v>74</v>
      </c>
      <c r="H402" t="s">
        <v>74</v>
      </c>
      <c r="I402" t="s">
        <v>6194</v>
      </c>
      <c r="J402" t="s">
        <v>893</v>
      </c>
      <c r="K402" t="s">
        <v>74</v>
      </c>
      <c r="L402" t="s">
        <v>74</v>
      </c>
      <c r="M402" t="s">
        <v>77</v>
      </c>
      <c r="N402" t="s">
        <v>78</v>
      </c>
      <c r="O402" t="s">
        <v>74</v>
      </c>
      <c r="P402" t="s">
        <v>74</v>
      </c>
      <c r="Q402" t="s">
        <v>74</v>
      </c>
      <c r="R402" t="s">
        <v>74</v>
      </c>
      <c r="S402" t="s">
        <v>74</v>
      </c>
      <c r="T402" t="s">
        <v>74</v>
      </c>
      <c r="U402" t="s">
        <v>6195</v>
      </c>
      <c r="V402" t="s">
        <v>6196</v>
      </c>
      <c r="W402" t="s">
        <v>6197</v>
      </c>
      <c r="X402" t="s">
        <v>6198</v>
      </c>
      <c r="Y402" t="s">
        <v>6199</v>
      </c>
      <c r="Z402" t="s">
        <v>6200</v>
      </c>
      <c r="AA402" t="s">
        <v>6201</v>
      </c>
      <c r="AB402" t="s">
        <v>6202</v>
      </c>
      <c r="AC402" t="s">
        <v>74</v>
      </c>
      <c r="AD402" t="s">
        <v>74</v>
      </c>
      <c r="AE402" t="s">
        <v>74</v>
      </c>
      <c r="AF402" t="s">
        <v>74</v>
      </c>
      <c r="AG402">
        <v>41</v>
      </c>
      <c r="AH402">
        <v>144</v>
      </c>
      <c r="AI402">
        <v>167</v>
      </c>
      <c r="AJ402">
        <v>0</v>
      </c>
      <c r="AK402">
        <v>23</v>
      </c>
      <c r="AL402" t="s">
        <v>902</v>
      </c>
      <c r="AM402" t="s">
        <v>903</v>
      </c>
      <c r="AN402" t="s">
        <v>922</v>
      </c>
      <c r="AO402" t="s">
        <v>905</v>
      </c>
      <c r="AP402" t="s">
        <v>906</v>
      </c>
      <c r="AQ402" t="s">
        <v>74</v>
      </c>
      <c r="AR402" t="s">
        <v>907</v>
      </c>
      <c r="AS402" t="s">
        <v>908</v>
      </c>
      <c r="AT402" t="s">
        <v>6203</v>
      </c>
      <c r="AU402">
        <v>2005</v>
      </c>
      <c r="AV402">
        <v>18</v>
      </c>
      <c r="AW402">
        <v>5</v>
      </c>
      <c r="AX402" t="s">
        <v>74</v>
      </c>
      <c r="AY402" t="s">
        <v>74</v>
      </c>
      <c r="AZ402" t="s">
        <v>74</v>
      </c>
      <c r="BA402" t="s">
        <v>74</v>
      </c>
      <c r="BB402">
        <v>702</v>
      </c>
      <c r="BC402">
        <v>718</v>
      </c>
      <c r="BD402" t="s">
        <v>74</v>
      </c>
      <c r="BE402" t="s">
        <v>6204</v>
      </c>
      <c r="BF402" t="str">
        <f>HYPERLINK("http://dx.doi.org/10.1175/JCLI-3284.1","http://dx.doi.org/10.1175/JCLI-3284.1")</f>
        <v>http://dx.doi.org/10.1175/JCLI-3284.1</v>
      </c>
      <c r="BG402" t="s">
        <v>74</v>
      </c>
      <c r="BH402" t="s">
        <v>74</v>
      </c>
      <c r="BI402">
        <v>17</v>
      </c>
      <c r="BJ402" t="s">
        <v>401</v>
      </c>
      <c r="BK402" t="s">
        <v>95</v>
      </c>
      <c r="BL402" t="s">
        <v>401</v>
      </c>
      <c r="BM402" t="s">
        <v>6205</v>
      </c>
      <c r="BN402" t="s">
        <v>74</v>
      </c>
      <c r="BO402" t="s">
        <v>539</v>
      </c>
      <c r="BP402" t="s">
        <v>74</v>
      </c>
      <c r="BQ402" t="s">
        <v>74</v>
      </c>
      <c r="BR402" t="s">
        <v>97</v>
      </c>
      <c r="BS402" t="s">
        <v>6206</v>
      </c>
      <c r="BT402" t="str">
        <f>HYPERLINK("https%3A%2F%2Fwww.webofscience.com%2Fwos%2Fwoscc%2Ffull-record%2FWOS:000227878800007","View Full Record in Web of Science")</f>
        <v>View Full Record in Web of Science</v>
      </c>
    </row>
    <row r="403" spans="1:72" x14ac:dyDescent="0.15">
      <c r="A403" t="s">
        <v>72</v>
      </c>
      <c r="B403" t="s">
        <v>6207</v>
      </c>
      <c r="C403" t="s">
        <v>74</v>
      </c>
      <c r="D403" t="s">
        <v>74</v>
      </c>
      <c r="E403" t="s">
        <v>74</v>
      </c>
      <c r="F403" t="s">
        <v>6207</v>
      </c>
      <c r="G403" t="s">
        <v>74</v>
      </c>
      <c r="H403" t="s">
        <v>74</v>
      </c>
      <c r="I403" t="s">
        <v>6208</v>
      </c>
      <c r="J403" t="s">
        <v>1803</v>
      </c>
      <c r="K403" t="s">
        <v>74</v>
      </c>
      <c r="L403" t="s">
        <v>74</v>
      </c>
      <c r="M403" t="s">
        <v>77</v>
      </c>
      <c r="N403" t="s">
        <v>78</v>
      </c>
      <c r="O403" t="s">
        <v>74</v>
      </c>
      <c r="P403" t="s">
        <v>74</v>
      </c>
      <c r="Q403" t="s">
        <v>74</v>
      </c>
      <c r="R403" t="s">
        <v>74</v>
      </c>
      <c r="S403" t="s">
        <v>74</v>
      </c>
      <c r="T403" t="s">
        <v>6209</v>
      </c>
      <c r="U403" t="s">
        <v>6210</v>
      </c>
      <c r="V403" t="s">
        <v>6211</v>
      </c>
      <c r="W403" t="s">
        <v>6212</v>
      </c>
      <c r="X403" t="s">
        <v>2134</v>
      </c>
      <c r="Y403" t="s">
        <v>6213</v>
      </c>
      <c r="Z403" t="s">
        <v>6214</v>
      </c>
      <c r="AA403" t="s">
        <v>6215</v>
      </c>
      <c r="AB403" t="s">
        <v>6216</v>
      </c>
      <c r="AC403" t="s">
        <v>74</v>
      </c>
      <c r="AD403" t="s">
        <v>74</v>
      </c>
      <c r="AE403" t="s">
        <v>74</v>
      </c>
      <c r="AF403" t="s">
        <v>74</v>
      </c>
      <c r="AG403">
        <v>72</v>
      </c>
      <c r="AH403">
        <v>62</v>
      </c>
      <c r="AI403">
        <v>70</v>
      </c>
      <c r="AJ403">
        <v>0</v>
      </c>
      <c r="AK403">
        <v>22</v>
      </c>
      <c r="AL403" t="s">
        <v>1812</v>
      </c>
      <c r="AM403" t="s">
        <v>1813</v>
      </c>
      <c r="AN403" t="s">
        <v>1814</v>
      </c>
      <c r="AO403" t="s">
        <v>1815</v>
      </c>
      <c r="AP403" t="s">
        <v>1816</v>
      </c>
      <c r="AQ403" t="s">
        <v>74</v>
      </c>
      <c r="AR403" t="s">
        <v>1817</v>
      </c>
      <c r="AS403" t="s">
        <v>1818</v>
      </c>
      <c r="AT403" t="s">
        <v>5640</v>
      </c>
      <c r="AU403">
        <v>2005</v>
      </c>
      <c r="AV403">
        <v>208</v>
      </c>
      <c r="AW403">
        <v>5</v>
      </c>
      <c r="AX403" t="s">
        <v>74</v>
      </c>
      <c r="AY403" t="s">
        <v>74</v>
      </c>
      <c r="AZ403" t="s">
        <v>74</v>
      </c>
      <c r="BA403" t="s">
        <v>74</v>
      </c>
      <c r="BB403">
        <v>869</v>
      </c>
      <c r="BC403">
        <v>879</v>
      </c>
      <c r="BD403" t="s">
        <v>74</v>
      </c>
      <c r="BE403" t="s">
        <v>6217</v>
      </c>
      <c r="BF403" t="str">
        <f>HYPERLINK("http://dx.doi.org/10.1242/jeb.01455","http://dx.doi.org/10.1242/jeb.01455")</f>
        <v>http://dx.doi.org/10.1242/jeb.01455</v>
      </c>
      <c r="BG403" t="s">
        <v>74</v>
      </c>
      <c r="BH403" t="s">
        <v>74</v>
      </c>
      <c r="BI403">
        <v>11</v>
      </c>
      <c r="BJ403" t="s">
        <v>1820</v>
      </c>
      <c r="BK403" t="s">
        <v>95</v>
      </c>
      <c r="BL403" t="s">
        <v>1821</v>
      </c>
      <c r="BM403" t="s">
        <v>6218</v>
      </c>
      <c r="BN403">
        <v>15755885</v>
      </c>
      <c r="BO403" t="s">
        <v>143</v>
      </c>
      <c r="BP403" t="s">
        <v>74</v>
      </c>
      <c r="BQ403" t="s">
        <v>74</v>
      </c>
      <c r="BR403" t="s">
        <v>97</v>
      </c>
      <c r="BS403" t="s">
        <v>6219</v>
      </c>
      <c r="BT403" t="str">
        <f>HYPERLINK("https%3A%2F%2Fwww.webofscience.com%2Fwos%2Fwoscc%2Ffull-record%2FWOS:000227935500018","View Full Record in Web of Science")</f>
        <v>View Full Record in Web of Science</v>
      </c>
    </row>
    <row r="404" spans="1:72" x14ac:dyDescent="0.15">
      <c r="A404" t="s">
        <v>72</v>
      </c>
      <c r="B404" t="s">
        <v>6220</v>
      </c>
      <c r="C404" t="s">
        <v>74</v>
      </c>
      <c r="D404" t="s">
        <v>74</v>
      </c>
      <c r="E404" t="s">
        <v>74</v>
      </c>
      <c r="F404" t="s">
        <v>6220</v>
      </c>
      <c r="G404" t="s">
        <v>74</v>
      </c>
      <c r="H404" t="s">
        <v>74</v>
      </c>
      <c r="I404" t="s">
        <v>6221</v>
      </c>
      <c r="J404" t="s">
        <v>6222</v>
      </c>
      <c r="K404" t="s">
        <v>74</v>
      </c>
      <c r="L404" t="s">
        <v>74</v>
      </c>
      <c r="M404" t="s">
        <v>77</v>
      </c>
      <c r="N404" t="s">
        <v>78</v>
      </c>
      <c r="O404" t="s">
        <v>74</v>
      </c>
      <c r="P404" t="s">
        <v>74</v>
      </c>
      <c r="Q404" t="s">
        <v>74</v>
      </c>
      <c r="R404" t="s">
        <v>74</v>
      </c>
      <c r="S404" t="s">
        <v>74</v>
      </c>
      <c r="T404" t="s">
        <v>6223</v>
      </c>
      <c r="U404" t="s">
        <v>6224</v>
      </c>
      <c r="V404" t="s">
        <v>6225</v>
      </c>
      <c r="W404" t="s">
        <v>6226</v>
      </c>
      <c r="X404" t="s">
        <v>74</v>
      </c>
      <c r="Y404" t="s">
        <v>6227</v>
      </c>
      <c r="Z404" t="s">
        <v>6228</v>
      </c>
      <c r="AA404" t="s">
        <v>74</v>
      </c>
      <c r="AB404" t="s">
        <v>6229</v>
      </c>
      <c r="AC404" t="s">
        <v>74</v>
      </c>
      <c r="AD404" t="s">
        <v>74</v>
      </c>
      <c r="AE404" t="s">
        <v>74</v>
      </c>
      <c r="AF404" t="s">
        <v>74</v>
      </c>
      <c r="AG404">
        <v>22</v>
      </c>
      <c r="AH404">
        <v>13</v>
      </c>
      <c r="AI404">
        <v>14</v>
      </c>
      <c r="AJ404">
        <v>0</v>
      </c>
      <c r="AK404">
        <v>7</v>
      </c>
      <c r="AL404" t="s">
        <v>1649</v>
      </c>
      <c r="AM404" t="s">
        <v>1650</v>
      </c>
      <c r="AN404" t="s">
        <v>1651</v>
      </c>
      <c r="AO404" t="s">
        <v>6230</v>
      </c>
      <c r="AP404" t="s">
        <v>6231</v>
      </c>
      <c r="AQ404" t="s">
        <v>74</v>
      </c>
      <c r="AR404" t="s">
        <v>6232</v>
      </c>
      <c r="AS404" t="s">
        <v>6233</v>
      </c>
      <c r="AT404" t="s">
        <v>6234</v>
      </c>
      <c r="AU404">
        <v>2005</v>
      </c>
      <c r="AV404">
        <v>18</v>
      </c>
      <c r="AW404" t="s">
        <v>1720</v>
      </c>
      <c r="AX404" t="s">
        <v>74</v>
      </c>
      <c r="AY404" t="s">
        <v>74</v>
      </c>
      <c r="AZ404" t="s">
        <v>74</v>
      </c>
      <c r="BA404" t="s">
        <v>74</v>
      </c>
      <c r="BB404">
        <v>131</v>
      </c>
      <c r="BC404">
        <v>137</v>
      </c>
      <c r="BD404" t="s">
        <v>74</v>
      </c>
      <c r="BE404" t="s">
        <v>6235</v>
      </c>
      <c r="BF404" t="str">
        <f>HYPERLINK("http://dx.doi.org/10.1016/j.jfca.2003.12.010","http://dx.doi.org/10.1016/j.jfca.2003.12.010")</f>
        <v>http://dx.doi.org/10.1016/j.jfca.2003.12.010</v>
      </c>
      <c r="BG404" t="s">
        <v>74</v>
      </c>
      <c r="BH404" t="s">
        <v>74</v>
      </c>
      <c r="BI404">
        <v>7</v>
      </c>
      <c r="BJ404" t="s">
        <v>6236</v>
      </c>
      <c r="BK404" t="s">
        <v>95</v>
      </c>
      <c r="BL404" t="s">
        <v>6237</v>
      </c>
      <c r="BM404" t="s">
        <v>6238</v>
      </c>
      <c r="BN404" t="s">
        <v>74</v>
      </c>
      <c r="BO404" t="s">
        <v>74</v>
      </c>
      <c r="BP404" t="s">
        <v>74</v>
      </c>
      <c r="BQ404" t="s">
        <v>74</v>
      </c>
      <c r="BR404" t="s">
        <v>97</v>
      </c>
      <c r="BS404" t="s">
        <v>6239</v>
      </c>
      <c r="BT404" t="str">
        <f>HYPERLINK("https%3A%2F%2Fwww.webofscience.com%2Fwos%2Fwoscc%2Ffull-record%2FWOS:000225661500002","View Full Record in Web of Science")</f>
        <v>View Full Record in Web of Science</v>
      </c>
    </row>
    <row r="405" spans="1:72" x14ac:dyDescent="0.15">
      <c r="A405" t="s">
        <v>72</v>
      </c>
      <c r="B405" t="s">
        <v>6240</v>
      </c>
      <c r="C405" t="s">
        <v>74</v>
      </c>
      <c r="D405" t="s">
        <v>74</v>
      </c>
      <c r="E405" t="s">
        <v>74</v>
      </c>
      <c r="F405" t="s">
        <v>6240</v>
      </c>
      <c r="G405" t="s">
        <v>74</v>
      </c>
      <c r="H405" t="s">
        <v>74</v>
      </c>
      <c r="I405" t="s">
        <v>6241</v>
      </c>
      <c r="J405" t="s">
        <v>6242</v>
      </c>
      <c r="K405" t="s">
        <v>74</v>
      </c>
      <c r="L405" t="s">
        <v>74</v>
      </c>
      <c r="M405" t="s">
        <v>77</v>
      </c>
      <c r="N405" t="s">
        <v>495</v>
      </c>
      <c r="O405" t="s">
        <v>6243</v>
      </c>
      <c r="P405" t="s">
        <v>5178</v>
      </c>
      <c r="Q405" t="s">
        <v>5179</v>
      </c>
      <c r="R405" t="s">
        <v>74</v>
      </c>
      <c r="S405" t="s">
        <v>74</v>
      </c>
      <c r="T405" t="s">
        <v>6244</v>
      </c>
      <c r="U405" t="s">
        <v>74</v>
      </c>
      <c r="V405" t="s">
        <v>6245</v>
      </c>
      <c r="W405" t="s">
        <v>6246</v>
      </c>
      <c r="X405" t="s">
        <v>6247</v>
      </c>
      <c r="Y405" t="s">
        <v>6248</v>
      </c>
      <c r="Z405" t="s">
        <v>6249</v>
      </c>
      <c r="AA405" t="s">
        <v>6250</v>
      </c>
      <c r="AB405" t="s">
        <v>6251</v>
      </c>
      <c r="AC405" t="s">
        <v>74</v>
      </c>
      <c r="AD405" t="s">
        <v>74</v>
      </c>
      <c r="AE405" t="s">
        <v>74</v>
      </c>
      <c r="AF405" t="s">
        <v>74</v>
      </c>
      <c r="AG405">
        <v>9</v>
      </c>
      <c r="AH405">
        <v>16</v>
      </c>
      <c r="AI405">
        <v>17</v>
      </c>
      <c r="AJ405">
        <v>1</v>
      </c>
      <c r="AK405">
        <v>6</v>
      </c>
      <c r="AL405" t="s">
        <v>255</v>
      </c>
      <c r="AM405" t="s">
        <v>256</v>
      </c>
      <c r="AN405" t="s">
        <v>257</v>
      </c>
      <c r="AO405" t="s">
        <v>6252</v>
      </c>
      <c r="AP405" t="s">
        <v>74</v>
      </c>
      <c r="AQ405" t="s">
        <v>74</v>
      </c>
      <c r="AR405" t="s">
        <v>6253</v>
      </c>
      <c r="AS405" t="s">
        <v>6254</v>
      </c>
      <c r="AT405" t="s">
        <v>5640</v>
      </c>
      <c r="AU405">
        <v>2005</v>
      </c>
      <c r="AV405">
        <v>39</v>
      </c>
      <c r="AW405">
        <v>2</v>
      </c>
      <c r="AX405" t="s">
        <v>74</v>
      </c>
      <c r="AY405" t="s">
        <v>74</v>
      </c>
      <c r="AZ405" t="s">
        <v>74</v>
      </c>
      <c r="BA405" t="s">
        <v>74</v>
      </c>
      <c r="BB405">
        <v>81</v>
      </c>
      <c r="BC405">
        <v>90</v>
      </c>
      <c r="BD405" t="s">
        <v>74</v>
      </c>
      <c r="BE405" t="s">
        <v>6255</v>
      </c>
      <c r="BF405" t="str">
        <f>HYPERLINK("http://dx.doi.org/10.1016/j.jog.2004.10.002","http://dx.doi.org/10.1016/j.jog.2004.10.002")</f>
        <v>http://dx.doi.org/10.1016/j.jog.2004.10.002</v>
      </c>
      <c r="BG405" t="s">
        <v>74</v>
      </c>
      <c r="BH405" t="s">
        <v>74</v>
      </c>
      <c r="BI405">
        <v>10</v>
      </c>
      <c r="BJ405" t="s">
        <v>381</v>
      </c>
      <c r="BK405" t="s">
        <v>514</v>
      </c>
      <c r="BL405" t="s">
        <v>381</v>
      </c>
      <c r="BM405" t="s">
        <v>6256</v>
      </c>
      <c r="BN405" t="s">
        <v>74</v>
      </c>
      <c r="BO405" t="s">
        <v>74</v>
      </c>
      <c r="BP405" t="s">
        <v>74</v>
      </c>
      <c r="BQ405" t="s">
        <v>74</v>
      </c>
      <c r="BR405" t="s">
        <v>97</v>
      </c>
      <c r="BS405" t="s">
        <v>6257</v>
      </c>
      <c r="BT405" t="str">
        <f>HYPERLINK("https%3A%2F%2Fwww.webofscience.com%2Fwos%2Fwoscc%2Ffull-record%2FWOS:000227189700002","View Full Record in Web of Science")</f>
        <v>View Full Record in Web of Science</v>
      </c>
    </row>
    <row r="406" spans="1:72" x14ac:dyDescent="0.15">
      <c r="A406" t="s">
        <v>72</v>
      </c>
      <c r="B406" t="s">
        <v>6258</v>
      </c>
      <c r="C406" t="s">
        <v>74</v>
      </c>
      <c r="D406" t="s">
        <v>74</v>
      </c>
      <c r="E406" t="s">
        <v>74</v>
      </c>
      <c r="F406" t="s">
        <v>6258</v>
      </c>
      <c r="G406" t="s">
        <v>74</v>
      </c>
      <c r="H406" t="s">
        <v>74</v>
      </c>
      <c r="I406" t="s">
        <v>6259</v>
      </c>
      <c r="J406" t="s">
        <v>6242</v>
      </c>
      <c r="K406" t="s">
        <v>74</v>
      </c>
      <c r="L406" t="s">
        <v>74</v>
      </c>
      <c r="M406" t="s">
        <v>77</v>
      </c>
      <c r="N406" t="s">
        <v>495</v>
      </c>
      <c r="O406" t="s">
        <v>6243</v>
      </c>
      <c r="P406" t="s">
        <v>5178</v>
      </c>
      <c r="Q406" t="s">
        <v>5179</v>
      </c>
      <c r="R406" t="s">
        <v>74</v>
      </c>
      <c r="S406" t="s">
        <v>74</v>
      </c>
      <c r="T406" t="s">
        <v>6260</v>
      </c>
      <c r="U406" t="s">
        <v>6261</v>
      </c>
      <c r="V406" t="s">
        <v>6262</v>
      </c>
      <c r="W406" t="s">
        <v>6263</v>
      </c>
      <c r="X406" t="s">
        <v>6264</v>
      </c>
      <c r="Y406" t="s">
        <v>6265</v>
      </c>
      <c r="Z406" t="s">
        <v>6266</v>
      </c>
      <c r="AA406" t="s">
        <v>6267</v>
      </c>
      <c r="AB406" t="s">
        <v>6268</v>
      </c>
      <c r="AC406" t="s">
        <v>74</v>
      </c>
      <c r="AD406" t="s">
        <v>74</v>
      </c>
      <c r="AE406" t="s">
        <v>74</v>
      </c>
      <c r="AF406" t="s">
        <v>74</v>
      </c>
      <c r="AG406">
        <v>69</v>
      </c>
      <c r="AH406">
        <v>77</v>
      </c>
      <c r="AI406">
        <v>88</v>
      </c>
      <c r="AJ406">
        <v>0</v>
      </c>
      <c r="AK406">
        <v>10</v>
      </c>
      <c r="AL406" t="s">
        <v>255</v>
      </c>
      <c r="AM406" t="s">
        <v>256</v>
      </c>
      <c r="AN406" t="s">
        <v>257</v>
      </c>
      <c r="AO406" t="s">
        <v>6252</v>
      </c>
      <c r="AP406" t="s">
        <v>74</v>
      </c>
      <c r="AQ406" t="s">
        <v>74</v>
      </c>
      <c r="AR406" t="s">
        <v>6253</v>
      </c>
      <c r="AS406" t="s">
        <v>6254</v>
      </c>
      <c r="AT406" t="s">
        <v>5640</v>
      </c>
      <c r="AU406">
        <v>2005</v>
      </c>
      <c r="AV406">
        <v>39</v>
      </c>
      <c r="AW406">
        <v>2</v>
      </c>
      <c r="AX406" t="s">
        <v>74</v>
      </c>
      <c r="AY406" t="s">
        <v>74</v>
      </c>
      <c r="AZ406" t="s">
        <v>74</v>
      </c>
      <c r="BA406" t="s">
        <v>74</v>
      </c>
      <c r="BB406">
        <v>165</v>
      </c>
      <c r="BC406">
        <v>181</v>
      </c>
      <c r="BD406" t="s">
        <v>74</v>
      </c>
      <c r="BE406" t="s">
        <v>6269</v>
      </c>
      <c r="BF406" t="str">
        <f>HYPERLINK("http://dx.doi.org/10.1016/j.jog.2004.08.009","http://dx.doi.org/10.1016/j.jog.2004.08.009")</f>
        <v>http://dx.doi.org/10.1016/j.jog.2004.08.009</v>
      </c>
      <c r="BG406" t="s">
        <v>74</v>
      </c>
      <c r="BH406" t="s">
        <v>74</v>
      </c>
      <c r="BI406">
        <v>17</v>
      </c>
      <c r="BJ406" t="s">
        <v>381</v>
      </c>
      <c r="BK406" t="s">
        <v>514</v>
      </c>
      <c r="BL406" t="s">
        <v>381</v>
      </c>
      <c r="BM406" t="s">
        <v>6256</v>
      </c>
      <c r="BN406" t="s">
        <v>74</v>
      </c>
      <c r="BO406" t="s">
        <v>74</v>
      </c>
      <c r="BP406" t="s">
        <v>74</v>
      </c>
      <c r="BQ406" t="s">
        <v>74</v>
      </c>
      <c r="BR406" t="s">
        <v>97</v>
      </c>
      <c r="BS406" t="s">
        <v>6270</v>
      </c>
      <c r="BT406" t="str">
        <f>HYPERLINK("https%3A%2F%2Fwww.webofscience.com%2Fwos%2Fwoscc%2Ffull-record%2FWOS:000227189700007","View Full Record in Web of Science")</f>
        <v>View Full Record in Web of Science</v>
      </c>
    </row>
    <row r="407" spans="1:72" x14ac:dyDescent="0.15">
      <c r="A407" t="s">
        <v>72</v>
      </c>
      <c r="B407" t="s">
        <v>6271</v>
      </c>
      <c r="C407" t="s">
        <v>74</v>
      </c>
      <c r="D407" t="s">
        <v>74</v>
      </c>
      <c r="E407" t="s">
        <v>74</v>
      </c>
      <c r="F407" t="s">
        <v>6271</v>
      </c>
      <c r="G407" t="s">
        <v>74</v>
      </c>
      <c r="H407" t="s">
        <v>74</v>
      </c>
      <c r="I407" t="s">
        <v>6272</v>
      </c>
      <c r="J407" t="s">
        <v>6273</v>
      </c>
      <c r="K407" t="s">
        <v>74</v>
      </c>
      <c r="L407" t="s">
        <v>74</v>
      </c>
      <c r="M407" t="s">
        <v>77</v>
      </c>
      <c r="N407" t="s">
        <v>78</v>
      </c>
      <c r="O407" t="s">
        <v>74</v>
      </c>
      <c r="P407" t="s">
        <v>74</v>
      </c>
      <c r="Q407" t="s">
        <v>74</v>
      </c>
      <c r="R407" t="s">
        <v>74</v>
      </c>
      <c r="S407" t="s">
        <v>74</v>
      </c>
      <c r="T407" t="s">
        <v>74</v>
      </c>
      <c r="U407" t="s">
        <v>74</v>
      </c>
      <c r="V407" t="s">
        <v>6274</v>
      </c>
      <c r="W407" t="s">
        <v>6275</v>
      </c>
      <c r="X407" t="s">
        <v>6276</v>
      </c>
      <c r="Y407" t="s">
        <v>6277</v>
      </c>
      <c r="Z407" t="s">
        <v>74</v>
      </c>
      <c r="AA407" t="s">
        <v>6278</v>
      </c>
      <c r="AB407" t="s">
        <v>74</v>
      </c>
      <c r="AC407" t="s">
        <v>74</v>
      </c>
      <c r="AD407" t="s">
        <v>74</v>
      </c>
      <c r="AE407" t="s">
        <v>74</v>
      </c>
      <c r="AF407" t="s">
        <v>74</v>
      </c>
      <c r="AG407">
        <v>13</v>
      </c>
      <c r="AH407">
        <v>1</v>
      </c>
      <c r="AI407">
        <v>1</v>
      </c>
      <c r="AJ407">
        <v>0</v>
      </c>
      <c r="AK407">
        <v>1</v>
      </c>
      <c r="AL407" t="s">
        <v>6279</v>
      </c>
      <c r="AM407" t="s">
        <v>528</v>
      </c>
      <c r="AN407" t="s">
        <v>6280</v>
      </c>
      <c r="AO407" t="s">
        <v>6281</v>
      </c>
      <c r="AP407" t="s">
        <v>74</v>
      </c>
      <c r="AQ407" t="s">
        <v>74</v>
      </c>
      <c r="AR407" t="s">
        <v>6282</v>
      </c>
      <c r="AS407" t="s">
        <v>6283</v>
      </c>
      <c r="AT407" t="s">
        <v>5640</v>
      </c>
      <c r="AU407">
        <v>2005</v>
      </c>
      <c r="AV407">
        <v>72</v>
      </c>
      <c r="AW407">
        <v>3</v>
      </c>
      <c r="AX407" t="s">
        <v>74</v>
      </c>
      <c r="AY407" t="s">
        <v>74</v>
      </c>
      <c r="AZ407" t="s">
        <v>74</v>
      </c>
      <c r="BA407" t="s">
        <v>74</v>
      </c>
      <c r="BB407">
        <v>230</v>
      </c>
      <c r="BC407">
        <v>233</v>
      </c>
      <c r="BD407" t="s">
        <v>74</v>
      </c>
      <c r="BE407" t="s">
        <v>6284</v>
      </c>
      <c r="BF407" t="str">
        <f>HYPERLINK("http://dx.doi.org/10.1364/JOT.72.000230","http://dx.doi.org/10.1364/JOT.72.000230")</f>
        <v>http://dx.doi.org/10.1364/JOT.72.000230</v>
      </c>
      <c r="BG407" t="s">
        <v>74</v>
      </c>
      <c r="BH407" t="s">
        <v>74</v>
      </c>
      <c r="BI407">
        <v>4</v>
      </c>
      <c r="BJ407" t="s">
        <v>6285</v>
      </c>
      <c r="BK407" t="s">
        <v>95</v>
      </c>
      <c r="BL407" t="s">
        <v>6285</v>
      </c>
      <c r="BM407" t="s">
        <v>6286</v>
      </c>
      <c r="BN407" t="s">
        <v>74</v>
      </c>
      <c r="BO407" t="s">
        <v>74</v>
      </c>
      <c r="BP407" t="s">
        <v>74</v>
      </c>
      <c r="BQ407" t="s">
        <v>74</v>
      </c>
      <c r="BR407" t="s">
        <v>97</v>
      </c>
      <c r="BS407" t="s">
        <v>6287</v>
      </c>
      <c r="BT407" t="str">
        <f>HYPERLINK("https%3A%2F%2Fwww.webofscience.com%2Fwos%2Fwoscc%2Ffull-record%2FWOS:000228940900002","View Full Record in Web of Science")</f>
        <v>View Full Record in Web of Science</v>
      </c>
    </row>
    <row r="408" spans="1:72" x14ac:dyDescent="0.15">
      <c r="A408" t="s">
        <v>72</v>
      </c>
      <c r="B408" t="s">
        <v>6288</v>
      </c>
      <c r="C408" t="s">
        <v>74</v>
      </c>
      <c r="D408" t="s">
        <v>74</v>
      </c>
      <c r="E408" t="s">
        <v>74</v>
      </c>
      <c r="F408" t="s">
        <v>6288</v>
      </c>
      <c r="G408" t="s">
        <v>74</v>
      </c>
      <c r="H408" t="s">
        <v>74</v>
      </c>
      <c r="I408" t="s">
        <v>6289</v>
      </c>
      <c r="J408" t="s">
        <v>6290</v>
      </c>
      <c r="K408" t="s">
        <v>74</v>
      </c>
      <c r="L408" t="s">
        <v>74</v>
      </c>
      <c r="M408" t="s">
        <v>77</v>
      </c>
      <c r="N408" t="s">
        <v>78</v>
      </c>
      <c r="O408" t="s">
        <v>74</v>
      </c>
      <c r="P408" t="s">
        <v>74</v>
      </c>
      <c r="Q408" t="s">
        <v>74</v>
      </c>
      <c r="R408" t="s">
        <v>74</v>
      </c>
      <c r="S408" t="s">
        <v>74</v>
      </c>
      <c r="T408" t="s">
        <v>74</v>
      </c>
      <c r="U408" t="s">
        <v>6291</v>
      </c>
      <c r="V408" t="s">
        <v>6292</v>
      </c>
      <c r="W408" t="s">
        <v>6293</v>
      </c>
      <c r="X408" t="s">
        <v>6294</v>
      </c>
      <c r="Y408" t="s">
        <v>6295</v>
      </c>
      <c r="Z408" t="s">
        <v>6296</v>
      </c>
      <c r="AA408" t="s">
        <v>74</v>
      </c>
      <c r="AB408" t="s">
        <v>74</v>
      </c>
      <c r="AC408" t="s">
        <v>74</v>
      </c>
      <c r="AD408" t="s">
        <v>74</v>
      </c>
      <c r="AE408" t="s">
        <v>74</v>
      </c>
      <c r="AF408" t="s">
        <v>74</v>
      </c>
      <c r="AG408">
        <v>68</v>
      </c>
      <c r="AH408">
        <v>15</v>
      </c>
      <c r="AI408">
        <v>16</v>
      </c>
      <c r="AJ408">
        <v>0</v>
      </c>
      <c r="AK408">
        <v>5</v>
      </c>
      <c r="AL408" t="s">
        <v>1580</v>
      </c>
      <c r="AM408" t="s">
        <v>256</v>
      </c>
      <c r="AN408" t="s">
        <v>1581</v>
      </c>
      <c r="AO408" t="s">
        <v>6297</v>
      </c>
      <c r="AP408" t="s">
        <v>6298</v>
      </c>
      <c r="AQ408" t="s">
        <v>74</v>
      </c>
      <c r="AR408" t="s">
        <v>6299</v>
      </c>
      <c r="AS408" t="s">
        <v>6300</v>
      </c>
      <c r="AT408" t="s">
        <v>5640</v>
      </c>
      <c r="AU408">
        <v>2005</v>
      </c>
      <c r="AV408">
        <v>27</v>
      </c>
      <c r="AW408">
        <v>3</v>
      </c>
      <c r="AX408" t="s">
        <v>74</v>
      </c>
      <c r="AY408" t="s">
        <v>74</v>
      </c>
      <c r="AZ408" t="s">
        <v>74</v>
      </c>
      <c r="BA408" t="s">
        <v>74</v>
      </c>
      <c r="BB408">
        <v>279</v>
      </c>
      <c r="BC408">
        <v>295</v>
      </c>
      <c r="BD408" t="s">
        <v>74</v>
      </c>
      <c r="BE408" t="s">
        <v>6301</v>
      </c>
      <c r="BF408" t="str">
        <f>HYPERLINK("http://dx.doi.org/10.1093/plankt/fbi003","http://dx.doi.org/10.1093/plankt/fbi003")</f>
        <v>http://dx.doi.org/10.1093/plankt/fbi003</v>
      </c>
      <c r="BG408" t="s">
        <v>74</v>
      </c>
      <c r="BH408" t="s">
        <v>74</v>
      </c>
      <c r="BI408">
        <v>17</v>
      </c>
      <c r="BJ408" t="s">
        <v>3689</v>
      </c>
      <c r="BK408" t="s">
        <v>95</v>
      </c>
      <c r="BL408" t="s">
        <v>3689</v>
      </c>
      <c r="BM408" t="s">
        <v>6302</v>
      </c>
      <c r="BN408" t="s">
        <v>74</v>
      </c>
      <c r="BO408" t="s">
        <v>539</v>
      </c>
      <c r="BP408" t="s">
        <v>74</v>
      </c>
      <c r="BQ408" t="s">
        <v>74</v>
      </c>
      <c r="BR408" t="s">
        <v>97</v>
      </c>
      <c r="BS408" t="s">
        <v>6303</v>
      </c>
      <c r="BT408" t="str">
        <f>HYPERLINK("https%3A%2F%2Fwww.webofscience.com%2Fwos%2Fwoscc%2Ffull-record%2FWOS:000228079700006","View Full Record in Web of Science")</f>
        <v>View Full Record in Web of Science</v>
      </c>
    </row>
    <row r="409" spans="1:72" x14ac:dyDescent="0.15">
      <c r="A409" t="s">
        <v>72</v>
      </c>
      <c r="B409" t="s">
        <v>6304</v>
      </c>
      <c r="C409" t="s">
        <v>74</v>
      </c>
      <c r="D409" t="s">
        <v>74</v>
      </c>
      <c r="E409" t="s">
        <v>74</v>
      </c>
      <c r="F409" t="s">
        <v>6304</v>
      </c>
      <c r="G409" t="s">
        <v>74</v>
      </c>
      <c r="H409" t="s">
        <v>74</v>
      </c>
      <c r="I409" t="s">
        <v>6305</v>
      </c>
      <c r="J409" t="s">
        <v>6306</v>
      </c>
      <c r="K409" t="s">
        <v>74</v>
      </c>
      <c r="L409" t="s">
        <v>74</v>
      </c>
      <c r="M409" t="s">
        <v>77</v>
      </c>
      <c r="N409" t="s">
        <v>78</v>
      </c>
      <c r="O409" t="s">
        <v>74</v>
      </c>
      <c r="P409" t="s">
        <v>74</v>
      </c>
      <c r="Q409" t="s">
        <v>74</v>
      </c>
      <c r="R409" t="s">
        <v>74</v>
      </c>
      <c r="S409" t="s">
        <v>74</v>
      </c>
      <c r="T409" t="s">
        <v>6307</v>
      </c>
      <c r="U409" t="s">
        <v>6308</v>
      </c>
      <c r="V409" t="s">
        <v>6309</v>
      </c>
      <c r="W409" t="s">
        <v>6310</v>
      </c>
      <c r="X409" t="s">
        <v>6311</v>
      </c>
      <c r="Y409" t="s">
        <v>6312</v>
      </c>
      <c r="Z409" t="s">
        <v>6313</v>
      </c>
      <c r="AA409" t="s">
        <v>6314</v>
      </c>
      <c r="AB409" t="s">
        <v>6315</v>
      </c>
      <c r="AC409" t="s">
        <v>74</v>
      </c>
      <c r="AD409" t="s">
        <v>74</v>
      </c>
      <c r="AE409" t="s">
        <v>74</v>
      </c>
      <c r="AF409" t="s">
        <v>74</v>
      </c>
      <c r="AG409">
        <v>46</v>
      </c>
      <c r="AH409">
        <v>27</v>
      </c>
      <c r="AI409">
        <v>29</v>
      </c>
      <c r="AJ409">
        <v>0</v>
      </c>
      <c r="AK409">
        <v>17</v>
      </c>
      <c r="AL409" t="s">
        <v>1519</v>
      </c>
      <c r="AM409" t="s">
        <v>528</v>
      </c>
      <c r="AN409" t="s">
        <v>1520</v>
      </c>
      <c r="AO409" t="s">
        <v>6316</v>
      </c>
      <c r="AP409" t="s">
        <v>6317</v>
      </c>
      <c r="AQ409" t="s">
        <v>74</v>
      </c>
      <c r="AR409" t="s">
        <v>6318</v>
      </c>
      <c r="AS409" t="s">
        <v>6319</v>
      </c>
      <c r="AT409" t="s">
        <v>6002</v>
      </c>
      <c r="AU409">
        <v>2005</v>
      </c>
      <c r="AV409">
        <v>4</v>
      </c>
      <c r="AW409">
        <v>2</v>
      </c>
      <c r="AX409" t="s">
        <v>74</v>
      </c>
      <c r="AY409" t="s">
        <v>74</v>
      </c>
      <c r="AZ409" t="s">
        <v>74</v>
      </c>
      <c r="BA409" t="s">
        <v>74</v>
      </c>
      <c r="BB409">
        <v>464</v>
      </c>
      <c r="BC409">
        <v>472</v>
      </c>
      <c r="BD409" t="s">
        <v>74</v>
      </c>
      <c r="BE409" t="s">
        <v>6320</v>
      </c>
      <c r="BF409" t="str">
        <f>HYPERLINK("http://dx.doi.org/10.1021/pr049797+","http://dx.doi.org/10.1021/pr049797+")</f>
        <v>http://dx.doi.org/10.1021/pr049797+</v>
      </c>
      <c r="BG409" t="s">
        <v>74</v>
      </c>
      <c r="BH409" t="s">
        <v>74</v>
      </c>
      <c r="BI409">
        <v>9</v>
      </c>
      <c r="BJ409" t="s">
        <v>6321</v>
      </c>
      <c r="BK409" t="s">
        <v>95</v>
      </c>
      <c r="BL409" t="s">
        <v>6322</v>
      </c>
      <c r="BM409" t="s">
        <v>6323</v>
      </c>
      <c r="BN409">
        <v>15822923</v>
      </c>
      <c r="BO409" t="s">
        <v>74</v>
      </c>
      <c r="BP409" t="s">
        <v>74</v>
      </c>
      <c r="BQ409" t="s">
        <v>74</v>
      </c>
      <c r="BR409" t="s">
        <v>97</v>
      </c>
      <c r="BS409" t="s">
        <v>6324</v>
      </c>
      <c r="BT409" t="str">
        <f>HYPERLINK("https%3A%2F%2Fwww.webofscience.com%2Fwos%2Fwoscc%2Ffull-record%2FWOS:000228421900030","View Full Record in Web of Science")</f>
        <v>View Full Record in Web of Science</v>
      </c>
    </row>
    <row r="410" spans="1:72" x14ac:dyDescent="0.15">
      <c r="A410" t="s">
        <v>72</v>
      </c>
      <c r="B410" t="s">
        <v>6325</v>
      </c>
      <c r="C410" t="s">
        <v>74</v>
      </c>
      <c r="D410" t="s">
        <v>74</v>
      </c>
      <c r="E410" t="s">
        <v>74</v>
      </c>
      <c r="F410" t="s">
        <v>6325</v>
      </c>
      <c r="G410" t="s">
        <v>74</v>
      </c>
      <c r="H410" t="s">
        <v>74</v>
      </c>
      <c r="I410" t="s">
        <v>6326</v>
      </c>
      <c r="J410" t="s">
        <v>6306</v>
      </c>
      <c r="K410" t="s">
        <v>74</v>
      </c>
      <c r="L410" t="s">
        <v>74</v>
      </c>
      <c r="M410" t="s">
        <v>77</v>
      </c>
      <c r="N410" t="s">
        <v>78</v>
      </c>
      <c r="O410" t="s">
        <v>74</v>
      </c>
      <c r="P410" t="s">
        <v>74</v>
      </c>
      <c r="Q410" t="s">
        <v>74</v>
      </c>
      <c r="R410" t="s">
        <v>74</v>
      </c>
      <c r="S410" t="s">
        <v>74</v>
      </c>
      <c r="T410" t="s">
        <v>6327</v>
      </c>
      <c r="U410" t="s">
        <v>6328</v>
      </c>
      <c r="V410" t="s">
        <v>6329</v>
      </c>
      <c r="W410" t="s">
        <v>6330</v>
      </c>
      <c r="X410" t="s">
        <v>6331</v>
      </c>
      <c r="Y410" t="s">
        <v>6312</v>
      </c>
      <c r="Z410" t="s">
        <v>6313</v>
      </c>
      <c r="AA410" t="s">
        <v>6332</v>
      </c>
      <c r="AB410" t="s">
        <v>6333</v>
      </c>
      <c r="AC410" t="s">
        <v>74</v>
      </c>
      <c r="AD410" t="s">
        <v>74</v>
      </c>
      <c r="AE410" t="s">
        <v>74</v>
      </c>
      <c r="AF410" t="s">
        <v>74</v>
      </c>
      <c r="AG410">
        <v>51</v>
      </c>
      <c r="AH410">
        <v>52</v>
      </c>
      <c r="AI410">
        <v>61</v>
      </c>
      <c r="AJ410">
        <v>1</v>
      </c>
      <c r="AK410">
        <v>11</v>
      </c>
      <c r="AL410" t="s">
        <v>1519</v>
      </c>
      <c r="AM410" t="s">
        <v>528</v>
      </c>
      <c r="AN410" t="s">
        <v>1520</v>
      </c>
      <c r="AO410" t="s">
        <v>6316</v>
      </c>
      <c r="AP410" t="s">
        <v>6317</v>
      </c>
      <c r="AQ410" t="s">
        <v>74</v>
      </c>
      <c r="AR410" t="s">
        <v>6318</v>
      </c>
      <c r="AS410" t="s">
        <v>6319</v>
      </c>
      <c r="AT410" t="s">
        <v>6002</v>
      </c>
      <c r="AU410">
        <v>2005</v>
      </c>
      <c r="AV410">
        <v>4</v>
      </c>
      <c r="AW410">
        <v>2</v>
      </c>
      <c r="AX410" t="s">
        <v>74</v>
      </c>
      <c r="AY410" t="s">
        <v>74</v>
      </c>
      <c r="AZ410" t="s">
        <v>74</v>
      </c>
      <c r="BA410" t="s">
        <v>74</v>
      </c>
      <c r="BB410">
        <v>473</v>
      </c>
      <c r="BC410">
        <v>480</v>
      </c>
      <c r="BD410" t="s">
        <v>74</v>
      </c>
      <c r="BE410" t="s">
        <v>6334</v>
      </c>
      <c r="BF410" t="str">
        <f>HYPERLINK("http://dx.doi.org/10.1021/pr049760p","http://dx.doi.org/10.1021/pr049760p")</f>
        <v>http://dx.doi.org/10.1021/pr049760p</v>
      </c>
      <c r="BG410" t="s">
        <v>74</v>
      </c>
      <c r="BH410" t="s">
        <v>74</v>
      </c>
      <c r="BI410">
        <v>8</v>
      </c>
      <c r="BJ410" t="s">
        <v>6321</v>
      </c>
      <c r="BK410" t="s">
        <v>95</v>
      </c>
      <c r="BL410" t="s">
        <v>6322</v>
      </c>
      <c r="BM410" t="s">
        <v>6323</v>
      </c>
      <c r="BN410">
        <v>15822924</v>
      </c>
      <c r="BO410" t="s">
        <v>74</v>
      </c>
      <c r="BP410" t="s">
        <v>74</v>
      </c>
      <c r="BQ410" t="s">
        <v>74</v>
      </c>
      <c r="BR410" t="s">
        <v>97</v>
      </c>
      <c r="BS410" t="s">
        <v>6335</v>
      </c>
      <c r="BT410" t="str">
        <f>HYPERLINK("https%3A%2F%2Fwww.webofscience.com%2Fwos%2Fwoscc%2Ffull-record%2FWOS:000228421900031","View Full Record in Web of Science")</f>
        <v>View Full Record in Web of Science</v>
      </c>
    </row>
    <row r="411" spans="1:72" x14ac:dyDescent="0.15">
      <c r="A411" t="s">
        <v>72</v>
      </c>
      <c r="B411" t="s">
        <v>6336</v>
      </c>
      <c r="C411" t="s">
        <v>74</v>
      </c>
      <c r="D411" t="s">
        <v>74</v>
      </c>
      <c r="E411" t="s">
        <v>74</v>
      </c>
      <c r="F411" t="s">
        <v>6336</v>
      </c>
      <c r="G411" t="s">
        <v>74</v>
      </c>
      <c r="H411" t="s">
        <v>74</v>
      </c>
      <c r="I411" t="s">
        <v>6337</v>
      </c>
      <c r="J411" t="s">
        <v>4854</v>
      </c>
      <c r="K411" t="s">
        <v>74</v>
      </c>
      <c r="L411" t="s">
        <v>74</v>
      </c>
      <c r="M411" t="s">
        <v>77</v>
      </c>
      <c r="N411" t="s">
        <v>249</v>
      </c>
      <c r="O411" t="s">
        <v>74</v>
      </c>
      <c r="P411" t="s">
        <v>74</v>
      </c>
      <c r="Q411" t="s">
        <v>74</v>
      </c>
      <c r="R411" t="s">
        <v>74</v>
      </c>
      <c r="S411" t="s">
        <v>74</v>
      </c>
      <c r="T411" t="s">
        <v>74</v>
      </c>
      <c r="U411" t="s">
        <v>74</v>
      </c>
      <c r="V411" t="s">
        <v>74</v>
      </c>
      <c r="W411" t="s">
        <v>74</v>
      </c>
      <c r="X411" t="s">
        <v>74</v>
      </c>
      <c r="Y411" t="s">
        <v>74</v>
      </c>
      <c r="Z411" t="s">
        <v>74</v>
      </c>
      <c r="AA411" t="s">
        <v>74</v>
      </c>
      <c r="AB411" t="s">
        <v>74</v>
      </c>
      <c r="AC411" t="s">
        <v>74</v>
      </c>
      <c r="AD411" t="s">
        <v>74</v>
      </c>
      <c r="AE411" t="s">
        <v>74</v>
      </c>
      <c r="AF411" t="s">
        <v>74</v>
      </c>
      <c r="AG411">
        <v>1</v>
      </c>
      <c r="AH411">
        <v>23</v>
      </c>
      <c r="AI411">
        <v>24</v>
      </c>
      <c r="AJ411">
        <v>1</v>
      </c>
      <c r="AK411">
        <v>4</v>
      </c>
      <c r="AL411" t="s">
        <v>902</v>
      </c>
      <c r="AM411" t="s">
        <v>903</v>
      </c>
      <c r="AN411" t="s">
        <v>922</v>
      </c>
      <c r="AO411" t="s">
        <v>4863</v>
      </c>
      <c r="AP411" t="s">
        <v>74</v>
      </c>
      <c r="AQ411" t="s">
        <v>74</v>
      </c>
      <c r="AR411" t="s">
        <v>4864</v>
      </c>
      <c r="AS411" t="s">
        <v>4865</v>
      </c>
      <c r="AT411" t="s">
        <v>5640</v>
      </c>
      <c r="AU411">
        <v>2005</v>
      </c>
      <c r="AV411">
        <v>62</v>
      </c>
      <c r="AW411">
        <v>3</v>
      </c>
      <c r="AX411" t="s">
        <v>74</v>
      </c>
      <c r="AY411" t="s">
        <v>74</v>
      </c>
      <c r="AZ411" t="s">
        <v>74</v>
      </c>
      <c r="BA411" t="s">
        <v>74</v>
      </c>
      <c r="BB411">
        <v>565</v>
      </c>
      <c r="BC411">
        <v>566</v>
      </c>
      <c r="BD411" t="s">
        <v>74</v>
      </c>
      <c r="BE411" t="s">
        <v>6338</v>
      </c>
      <c r="BF411" t="str">
        <f>HYPERLINK("http://dx.doi.org/10.1175/JAS-9999.1","http://dx.doi.org/10.1175/JAS-9999.1")</f>
        <v>http://dx.doi.org/10.1175/JAS-9999.1</v>
      </c>
      <c r="BG411" t="s">
        <v>74</v>
      </c>
      <c r="BH411" t="s">
        <v>74</v>
      </c>
      <c r="BI411">
        <v>2</v>
      </c>
      <c r="BJ411" t="s">
        <v>401</v>
      </c>
      <c r="BK411" t="s">
        <v>95</v>
      </c>
      <c r="BL411" t="s">
        <v>401</v>
      </c>
      <c r="BM411" t="s">
        <v>6339</v>
      </c>
      <c r="BN411" t="s">
        <v>74</v>
      </c>
      <c r="BO411" t="s">
        <v>1776</v>
      </c>
      <c r="BP411" t="s">
        <v>74</v>
      </c>
      <c r="BQ411" t="s">
        <v>74</v>
      </c>
      <c r="BR411" t="s">
        <v>97</v>
      </c>
      <c r="BS411" t="s">
        <v>6340</v>
      </c>
      <c r="BT411" t="str">
        <f>HYPERLINK("https%3A%2F%2Fwww.webofscience.com%2Fwos%2Fwoscc%2Ffull-record%2FWOS:000228012100001","View Full Record in Web of Science")</f>
        <v>View Full Record in Web of Science</v>
      </c>
    </row>
    <row r="412" spans="1:72" x14ac:dyDescent="0.15">
      <c r="A412" t="s">
        <v>72</v>
      </c>
      <c r="B412" t="s">
        <v>6341</v>
      </c>
      <c r="C412" t="s">
        <v>74</v>
      </c>
      <c r="D412" t="s">
        <v>74</v>
      </c>
      <c r="E412" t="s">
        <v>74</v>
      </c>
      <c r="F412" t="s">
        <v>6341</v>
      </c>
      <c r="G412" t="s">
        <v>74</v>
      </c>
      <c r="H412" t="s">
        <v>74</v>
      </c>
      <c r="I412" t="s">
        <v>6342</v>
      </c>
      <c r="J412" t="s">
        <v>4854</v>
      </c>
      <c r="K412" t="s">
        <v>74</v>
      </c>
      <c r="L412" t="s">
        <v>74</v>
      </c>
      <c r="M412" t="s">
        <v>77</v>
      </c>
      <c r="N412" t="s">
        <v>78</v>
      </c>
      <c r="O412" t="s">
        <v>74</v>
      </c>
      <c r="P412" t="s">
        <v>74</v>
      </c>
      <c r="Q412" t="s">
        <v>74</v>
      </c>
      <c r="R412" t="s">
        <v>74</v>
      </c>
      <c r="S412" t="s">
        <v>74</v>
      </c>
      <c r="T412" t="s">
        <v>74</v>
      </c>
      <c r="U412" t="s">
        <v>6343</v>
      </c>
      <c r="V412" t="s">
        <v>6344</v>
      </c>
      <c r="W412" t="s">
        <v>670</v>
      </c>
      <c r="X412" t="s">
        <v>671</v>
      </c>
      <c r="Y412" t="s">
        <v>6345</v>
      </c>
      <c r="Z412" t="s">
        <v>2617</v>
      </c>
      <c r="AA412" t="s">
        <v>74</v>
      </c>
      <c r="AB412" t="s">
        <v>74</v>
      </c>
      <c r="AC412" t="s">
        <v>74</v>
      </c>
      <c r="AD412" t="s">
        <v>74</v>
      </c>
      <c r="AE412" t="s">
        <v>74</v>
      </c>
      <c r="AF412" t="s">
        <v>74</v>
      </c>
      <c r="AG412">
        <v>9</v>
      </c>
      <c r="AH412">
        <v>46</v>
      </c>
      <c r="AI412">
        <v>47</v>
      </c>
      <c r="AJ412">
        <v>0</v>
      </c>
      <c r="AK412">
        <v>5</v>
      </c>
      <c r="AL412" t="s">
        <v>902</v>
      </c>
      <c r="AM412" t="s">
        <v>903</v>
      </c>
      <c r="AN412" t="s">
        <v>922</v>
      </c>
      <c r="AO412" t="s">
        <v>4863</v>
      </c>
      <c r="AP412" t="s">
        <v>6346</v>
      </c>
      <c r="AQ412" t="s">
        <v>74</v>
      </c>
      <c r="AR412" t="s">
        <v>4864</v>
      </c>
      <c r="AS412" t="s">
        <v>4865</v>
      </c>
      <c r="AT412" t="s">
        <v>5640</v>
      </c>
      <c r="AU412">
        <v>2005</v>
      </c>
      <c r="AV412">
        <v>62</v>
      </c>
      <c r="AW412">
        <v>3</v>
      </c>
      <c r="AX412" t="s">
        <v>74</v>
      </c>
      <c r="AY412" t="s">
        <v>74</v>
      </c>
      <c r="AZ412" t="s">
        <v>74</v>
      </c>
      <c r="BA412" t="s">
        <v>74</v>
      </c>
      <c r="BB412">
        <v>581</v>
      </c>
      <c r="BC412">
        <v>588</v>
      </c>
      <c r="BD412" t="s">
        <v>74</v>
      </c>
      <c r="BE412" t="s">
        <v>6347</v>
      </c>
      <c r="BF412" t="str">
        <f>HYPERLINK("http://dx.doi.org/10.1175/JAS-3331.1","http://dx.doi.org/10.1175/JAS-3331.1")</f>
        <v>http://dx.doi.org/10.1175/JAS-3331.1</v>
      </c>
      <c r="BG412" t="s">
        <v>74</v>
      </c>
      <c r="BH412" t="s">
        <v>74</v>
      </c>
      <c r="BI412">
        <v>8</v>
      </c>
      <c r="BJ412" t="s">
        <v>401</v>
      </c>
      <c r="BK412" t="s">
        <v>95</v>
      </c>
      <c r="BL412" t="s">
        <v>401</v>
      </c>
      <c r="BM412" t="s">
        <v>6339</v>
      </c>
      <c r="BN412" t="s">
        <v>74</v>
      </c>
      <c r="BO412" t="s">
        <v>1776</v>
      </c>
      <c r="BP412" t="s">
        <v>74</v>
      </c>
      <c r="BQ412" t="s">
        <v>74</v>
      </c>
      <c r="BR412" t="s">
        <v>97</v>
      </c>
      <c r="BS412" t="s">
        <v>6348</v>
      </c>
      <c r="BT412" t="str">
        <f>HYPERLINK("https%3A%2F%2Fwww.webofscience.com%2Fwos%2Fwoscc%2Ffull-record%2FWOS:000228012100003","View Full Record in Web of Science")</f>
        <v>View Full Record in Web of Science</v>
      </c>
    </row>
    <row r="413" spans="1:72" x14ac:dyDescent="0.15">
      <c r="A413" t="s">
        <v>72</v>
      </c>
      <c r="B413" t="s">
        <v>6349</v>
      </c>
      <c r="C413" t="s">
        <v>74</v>
      </c>
      <c r="D413" t="s">
        <v>74</v>
      </c>
      <c r="E413" t="s">
        <v>74</v>
      </c>
      <c r="F413" t="s">
        <v>6349</v>
      </c>
      <c r="G413" t="s">
        <v>74</v>
      </c>
      <c r="H413" t="s">
        <v>74</v>
      </c>
      <c r="I413" t="s">
        <v>6350</v>
      </c>
      <c r="J413" t="s">
        <v>4854</v>
      </c>
      <c r="K413" t="s">
        <v>74</v>
      </c>
      <c r="L413" t="s">
        <v>74</v>
      </c>
      <c r="M413" t="s">
        <v>77</v>
      </c>
      <c r="N413" t="s">
        <v>78</v>
      </c>
      <c r="O413" t="s">
        <v>74</v>
      </c>
      <c r="P413" t="s">
        <v>74</v>
      </c>
      <c r="Q413" t="s">
        <v>74</v>
      </c>
      <c r="R413" t="s">
        <v>74</v>
      </c>
      <c r="S413" t="s">
        <v>74</v>
      </c>
      <c r="T413" t="s">
        <v>74</v>
      </c>
      <c r="U413" t="s">
        <v>6351</v>
      </c>
      <c r="V413" t="s">
        <v>6352</v>
      </c>
      <c r="W413" t="s">
        <v>6353</v>
      </c>
      <c r="X413" t="s">
        <v>6354</v>
      </c>
      <c r="Y413" t="s">
        <v>6355</v>
      </c>
      <c r="Z413" t="s">
        <v>6356</v>
      </c>
      <c r="AA413" t="s">
        <v>74</v>
      </c>
      <c r="AB413" t="s">
        <v>74</v>
      </c>
      <c r="AC413" t="s">
        <v>74</v>
      </c>
      <c r="AD413" t="s">
        <v>74</v>
      </c>
      <c r="AE413" t="s">
        <v>74</v>
      </c>
      <c r="AF413" t="s">
        <v>74</v>
      </c>
      <c r="AG413">
        <v>39</v>
      </c>
      <c r="AH413">
        <v>103</v>
      </c>
      <c r="AI413">
        <v>110</v>
      </c>
      <c r="AJ413">
        <v>2</v>
      </c>
      <c r="AK413">
        <v>20</v>
      </c>
      <c r="AL413" t="s">
        <v>902</v>
      </c>
      <c r="AM413" t="s">
        <v>903</v>
      </c>
      <c r="AN413" t="s">
        <v>922</v>
      </c>
      <c r="AO413" t="s">
        <v>4863</v>
      </c>
      <c r="AP413" t="s">
        <v>6346</v>
      </c>
      <c r="AQ413" t="s">
        <v>74</v>
      </c>
      <c r="AR413" t="s">
        <v>4864</v>
      </c>
      <c r="AS413" t="s">
        <v>4865</v>
      </c>
      <c r="AT413" t="s">
        <v>5640</v>
      </c>
      <c r="AU413">
        <v>2005</v>
      </c>
      <c r="AV413">
        <v>62</v>
      </c>
      <c r="AW413">
        <v>3</v>
      </c>
      <c r="AX413" t="s">
        <v>74</v>
      </c>
      <c r="AY413" t="s">
        <v>74</v>
      </c>
      <c r="AZ413" t="s">
        <v>74</v>
      </c>
      <c r="BA413" t="s">
        <v>74</v>
      </c>
      <c r="BB413">
        <v>603</v>
      </c>
      <c r="BC413">
        <v>613</v>
      </c>
      <c r="BD413" t="s">
        <v>74</v>
      </c>
      <c r="BE413" t="s">
        <v>6357</v>
      </c>
      <c r="BF413" t="str">
        <f>HYPERLINK("http://dx.doi.org/10.1175/JAS-3316.1","http://dx.doi.org/10.1175/JAS-3316.1")</f>
        <v>http://dx.doi.org/10.1175/JAS-3316.1</v>
      </c>
      <c r="BG413" t="s">
        <v>74</v>
      </c>
      <c r="BH413" t="s">
        <v>74</v>
      </c>
      <c r="BI413">
        <v>11</v>
      </c>
      <c r="BJ413" t="s">
        <v>401</v>
      </c>
      <c r="BK413" t="s">
        <v>95</v>
      </c>
      <c r="BL413" t="s">
        <v>401</v>
      </c>
      <c r="BM413" t="s">
        <v>6339</v>
      </c>
      <c r="BN413" t="s">
        <v>74</v>
      </c>
      <c r="BO413" t="s">
        <v>1776</v>
      </c>
      <c r="BP413" t="s">
        <v>74</v>
      </c>
      <c r="BQ413" t="s">
        <v>74</v>
      </c>
      <c r="BR413" t="s">
        <v>97</v>
      </c>
      <c r="BS413" t="s">
        <v>6358</v>
      </c>
      <c r="BT413" t="str">
        <f>HYPERLINK("https%3A%2F%2Fwww.webofscience.com%2Fwos%2Fwoscc%2Ffull-record%2FWOS:000228012100005","View Full Record in Web of Science")</f>
        <v>View Full Record in Web of Science</v>
      </c>
    </row>
    <row r="414" spans="1:72" x14ac:dyDescent="0.15">
      <c r="A414" t="s">
        <v>72</v>
      </c>
      <c r="B414" t="s">
        <v>6359</v>
      </c>
      <c r="C414" t="s">
        <v>74</v>
      </c>
      <c r="D414" t="s">
        <v>74</v>
      </c>
      <c r="E414" t="s">
        <v>74</v>
      </c>
      <c r="F414" t="s">
        <v>6359</v>
      </c>
      <c r="G414" t="s">
        <v>74</v>
      </c>
      <c r="H414" t="s">
        <v>74</v>
      </c>
      <c r="I414" t="s">
        <v>6360</v>
      </c>
      <c r="J414" t="s">
        <v>4854</v>
      </c>
      <c r="K414" t="s">
        <v>74</v>
      </c>
      <c r="L414" t="s">
        <v>74</v>
      </c>
      <c r="M414" t="s">
        <v>77</v>
      </c>
      <c r="N414" t="s">
        <v>78</v>
      </c>
      <c r="O414" t="s">
        <v>74</v>
      </c>
      <c r="P414" t="s">
        <v>74</v>
      </c>
      <c r="Q414" t="s">
        <v>74</v>
      </c>
      <c r="R414" t="s">
        <v>74</v>
      </c>
      <c r="S414" t="s">
        <v>74</v>
      </c>
      <c r="T414" t="s">
        <v>74</v>
      </c>
      <c r="U414" t="s">
        <v>6361</v>
      </c>
      <c r="V414" t="s">
        <v>6362</v>
      </c>
      <c r="W414" t="s">
        <v>6363</v>
      </c>
      <c r="X414" t="s">
        <v>6364</v>
      </c>
      <c r="Y414" t="s">
        <v>6365</v>
      </c>
      <c r="Z414" t="s">
        <v>6366</v>
      </c>
      <c r="AA414" t="s">
        <v>6367</v>
      </c>
      <c r="AB414" t="s">
        <v>6368</v>
      </c>
      <c r="AC414" t="s">
        <v>74</v>
      </c>
      <c r="AD414" t="s">
        <v>74</v>
      </c>
      <c r="AE414" t="s">
        <v>74</v>
      </c>
      <c r="AF414" t="s">
        <v>74</v>
      </c>
      <c r="AG414">
        <v>28</v>
      </c>
      <c r="AH414">
        <v>137</v>
      </c>
      <c r="AI414">
        <v>147</v>
      </c>
      <c r="AJ414">
        <v>0</v>
      </c>
      <c r="AK414">
        <v>16</v>
      </c>
      <c r="AL414" t="s">
        <v>902</v>
      </c>
      <c r="AM414" t="s">
        <v>903</v>
      </c>
      <c r="AN414" t="s">
        <v>922</v>
      </c>
      <c r="AO414" t="s">
        <v>4863</v>
      </c>
      <c r="AP414" t="s">
        <v>6346</v>
      </c>
      <c r="AQ414" t="s">
        <v>74</v>
      </c>
      <c r="AR414" t="s">
        <v>4864</v>
      </c>
      <c r="AS414" t="s">
        <v>4865</v>
      </c>
      <c r="AT414" t="s">
        <v>5640</v>
      </c>
      <c r="AU414">
        <v>2005</v>
      </c>
      <c r="AV414">
        <v>62</v>
      </c>
      <c r="AW414">
        <v>3</v>
      </c>
      <c r="AX414" t="s">
        <v>74</v>
      </c>
      <c r="AY414" t="s">
        <v>74</v>
      </c>
      <c r="AZ414" t="s">
        <v>74</v>
      </c>
      <c r="BA414" t="s">
        <v>74</v>
      </c>
      <c r="BB414">
        <v>614</v>
      </c>
      <c r="BC414">
        <v>628</v>
      </c>
      <c r="BD414" t="s">
        <v>74</v>
      </c>
      <c r="BE414" t="s">
        <v>6369</v>
      </c>
      <c r="BF414" t="str">
        <f>HYPERLINK("http://dx.doi.org/10.1175/JAS-3323.1","http://dx.doi.org/10.1175/JAS-3323.1")</f>
        <v>http://dx.doi.org/10.1175/JAS-3323.1</v>
      </c>
      <c r="BG414" t="s">
        <v>74</v>
      </c>
      <c r="BH414" t="s">
        <v>74</v>
      </c>
      <c r="BI414">
        <v>15</v>
      </c>
      <c r="BJ414" t="s">
        <v>401</v>
      </c>
      <c r="BK414" t="s">
        <v>95</v>
      </c>
      <c r="BL414" t="s">
        <v>401</v>
      </c>
      <c r="BM414" t="s">
        <v>6339</v>
      </c>
      <c r="BN414" t="s">
        <v>74</v>
      </c>
      <c r="BO414" t="s">
        <v>3093</v>
      </c>
      <c r="BP414" t="s">
        <v>74</v>
      </c>
      <c r="BQ414" t="s">
        <v>74</v>
      </c>
      <c r="BR414" t="s">
        <v>97</v>
      </c>
      <c r="BS414" t="s">
        <v>6370</v>
      </c>
      <c r="BT414" t="str">
        <f>HYPERLINK("https%3A%2F%2Fwww.webofscience.com%2Fwos%2Fwoscc%2Ffull-record%2FWOS:000228012100006","View Full Record in Web of Science")</f>
        <v>View Full Record in Web of Science</v>
      </c>
    </row>
    <row r="415" spans="1:72" x14ac:dyDescent="0.15">
      <c r="A415" t="s">
        <v>72</v>
      </c>
      <c r="B415" t="s">
        <v>6371</v>
      </c>
      <c r="C415" t="s">
        <v>74</v>
      </c>
      <c r="D415" t="s">
        <v>74</v>
      </c>
      <c r="E415" t="s">
        <v>74</v>
      </c>
      <c r="F415" t="s">
        <v>6371</v>
      </c>
      <c r="G415" t="s">
        <v>74</v>
      </c>
      <c r="H415" t="s">
        <v>74</v>
      </c>
      <c r="I415" t="s">
        <v>6372</v>
      </c>
      <c r="J415" t="s">
        <v>4854</v>
      </c>
      <c r="K415" t="s">
        <v>74</v>
      </c>
      <c r="L415" t="s">
        <v>74</v>
      </c>
      <c r="M415" t="s">
        <v>77</v>
      </c>
      <c r="N415" t="s">
        <v>78</v>
      </c>
      <c r="O415" t="s">
        <v>74</v>
      </c>
      <c r="P415" t="s">
        <v>74</v>
      </c>
      <c r="Q415" t="s">
        <v>74</v>
      </c>
      <c r="R415" t="s">
        <v>74</v>
      </c>
      <c r="S415" t="s">
        <v>74</v>
      </c>
      <c r="T415" t="s">
        <v>74</v>
      </c>
      <c r="U415" t="s">
        <v>6373</v>
      </c>
      <c r="V415" t="s">
        <v>6374</v>
      </c>
      <c r="W415" t="s">
        <v>6375</v>
      </c>
      <c r="X415" t="s">
        <v>6376</v>
      </c>
      <c r="Y415" t="s">
        <v>6377</v>
      </c>
      <c r="Z415" t="s">
        <v>6378</v>
      </c>
      <c r="AA415" t="s">
        <v>74</v>
      </c>
      <c r="AB415" t="s">
        <v>6379</v>
      </c>
      <c r="AC415" t="s">
        <v>74</v>
      </c>
      <c r="AD415" t="s">
        <v>74</v>
      </c>
      <c r="AE415" t="s">
        <v>74</v>
      </c>
      <c r="AF415" t="s">
        <v>74</v>
      </c>
      <c r="AG415">
        <v>27</v>
      </c>
      <c r="AH415">
        <v>28</v>
      </c>
      <c r="AI415">
        <v>28</v>
      </c>
      <c r="AJ415">
        <v>0</v>
      </c>
      <c r="AK415">
        <v>8</v>
      </c>
      <c r="AL415" t="s">
        <v>902</v>
      </c>
      <c r="AM415" t="s">
        <v>903</v>
      </c>
      <c r="AN415" t="s">
        <v>922</v>
      </c>
      <c r="AO415" t="s">
        <v>4863</v>
      </c>
      <c r="AP415" t="s">
        <v>6346</v>
      </c>
      <c r="AQ415" t="s">
        <v>74</v>
      </c>
      <c r="AR415" t="s">
        <v>4864</v>
      </c>
      <c r="AS415" t="s">
        <v>4865</v>
      </c>
      <c r="AT415" t="s">
        <v>5640</v>
      </c>
      <c r="AU415">
        <v>2005</v>
      </c>
      <c r="AV415">
        <v>62</v>
      </c>
      <c r="AW415">
        <v>3</v>
      </c>
      <c r="AX415" t="s">
        <v>74</v>
      </c>
      <c r="AY415" t="s">
        <v>74</v>
      </c>
      <c r="AZ415" t="s">
        <v>74</v>
      </c>
      <c r="BA415" t="s">
        <v>74</v>
      </c>
      <c r="BB415">
        <v>629</v>
      </c>
      <c r="BC415">
        <v>639</v>
      </c>
      <c r="BD415" t="s">
        <v>74</v>
      </c>
      <c r="BE415" t="s">
        <v>6380</v>
      </c>
      <c r="BF415" t="str">
        <f>HYPERLINK("http://dx.doi.org/10.1175/JAS-3334.1","http://dx.doi.org/10.1175/JAS-3334.1")</f>
        <v>http://dx.doi.org/10.1175/JAS-3334.1</v>
      </c>
      <c r="BG415" t="s">
        <v>74</v>
      </c>
      <c r="BH415" t="s">
        <v>74</v>
      </c>
      <c r="BI415">
        <v>11</v>
      </c>
      <c r="BJ415" t="s">
        <v>401</v>
      </c>
      <c r="BK415" t="s">
        <v>95</v>
      </c>
      <c r="BL415" t="s">
        <v>401</v>
      </c>
      <c r="BM415" t="s">
        <v>6339</v>
      </c>
      <c r="BN415" t="s">
        <v>74</v>
      </c>
      <c r="BO415" t="s">
        <v>1776</v>
      </c>
      <c r="BP415" t="s">
        <v>74</v>
      </c>
      <c r="BQ415" t="s">
        <v>74</v>
      </c>
      <c r="BR415" t="s">
        <v>97</v>
      </c>
      <c r="BS415" t="s">
        <v>6381</v>
      </c>
      <c r="BT415" t="str">
        <f>HYPERLINK("https%3A%2F%2Fwww.webofscience.com%2Fwos%2Fwoscc%2Ffull-record%2FWOS:000228012100007","View Full Record in Web of Science")</f>
        <v>View Full Record in Web of Science</v>
      </c>
    </row>
    <row r="416" spans="1:72" x14ac:dyDescent="0.15">
      <c r="A416" t="s">
        <v>72</v>
      </c>
      <c r="B416" t="s">
        <v>6382</v>
      </c>
      <c r="C416" t="s">
        <v>74</v>
      </c>
      <c r="D416" t="s">
        <v>74</v>
      </c>
      <c r="E416" t="s">
        <v>74</v>
      </c>
      <c r="F416" t="s">
        <v>6382</v>
      </c>
      <c r="G416" t="s">
        <v>74</v>
      </c>
      <c r="H416" t="s">
        <v>74</v>
      </c>
      <c r="I416" t="s">
        <v>6383</v>
      </c>
      <c r="J416" t="s">
        <v>4854</v>
      </c>
      <c r="K416" t="s">
        <v>74</v>
      </c>
      <c r="L416" t="s">
        <v>74</v>
      </c>
      <c r="M416" t="s">
        <v>77</v>
      </c>
      <c r="N416" t="s">
        <v>78</v>
      </c>
      <c r="O416" t="s">
        <v>74</v>
      </c>
      <c r="P416" t="s">
        <v>74</v>
      </c>
      <c r="Q416" t="s">
        <v>74</v>
      </c>
      <c r="R416" t="s">
        <v>74</v>
      </c>
      <c r="S416" t="s">
        <v>74</v>
      </c>
      <c r="T416" t="s">
        <v>74</v>
      </c>
      <c r="U416" t="s">
        <v>6384</v>
      </c>
      <c r="V416" t="s">
        <v>6385</v>
      </c>
      <c r="W416" t="s">
        <v>6386</v>
      </c>
      <c r="X416" t="s">
        <v>6387</v>
      </c>
      <c r="Y416" t="s">
        <v>6388</v>
      </c>
      <c r="Z416" t="s">
        <v>706</v>
      </c>
      <c r="AA416" t="s">
        <v>6389</v>
      </c>
      <c r="AB416" t="s">
        <v>6390</v>
      </c>
      <c r="AC416" t="s">
        <v>74</v>
      </c>
      <c r="AD416" t="s">
        <v>74</v>
      </c>
      <c r="AE416" t="s">
        <v>74</v>
      </c>
      <c r="AF416" t="s">
        <v>74</v>
      </c>
      <c r="AG416">
        <v>55</v>
      </c>
      <c r="AH416">
        <v>61</v>
      </c>
      <c r="AI416">
        <v>67</v>
      </c>
      <c r="AJ416">
        <v>0</v>
      </c>
      <c r="AK416">
        <v>4</v>
      </c>
      <c r="AL416" t="s">
        <v>902</v>
      </c>
      <c r="AM416" t="s">
        <v>903</v>
      </c>
      <c r="AN416" t="s">
        <v>922</v>
      </c>
      <c r="AO416" t="s">
        <v>4863</v>
      </c>
      <c r="AP416" t="s">
        <v>6346</v>
      </c>
      <c r="AQ416" t="s">
        <v>74</v>
      </c>
      <c r="AR416" t="s">
        <v>4864</v>
      </c>
      <c r="AS416" t="s">
        <v>4865</v>
      </c>
      <c r="AT416" t="s">
        <v>5640</v>
      </c>
      <c r="AU416">
        <v>2005</v>
      </c>
      <c r="AV416">
        <v>62</v>
      </c>
      <c r="AW416">
        <v>3</v>
      </c>
      <c r="AX416" t="s">
        <v>74</v>
      </c>
      <c r="AY416" t="s">
        <v>74</v>
      </c>
      <c r="AZ416" t="s">
        <v>74</v>
      </c>
      <c r="BA416" t="s">
        <v>74</v>
      </c>
      <c r="BB416">
        <v>690</v>
      </c>
      <c r="BC416">
        <v>707</v>
      </c>
      <c r="BD416" t="s">
        <v>74</v>
      </c>
      <c r="BE416" t="s">
        <v>6391</v>
      </c>
      <c r="BF416" t="str">
        <f>HYPERLINK("http://dx.doi.org/10.1175/JAS-3313.1","http://dx.doi.org/10.1175/JAS-3313.1")</f>
        <v>http://dx.doi.org/10.1175/JAS-3313.1</v>
      </c>
      <c r="BG416" t="s">
        <v>74</v>
      </c>
      <c r="BH416" t="s">
        <v>74</v>
      </c>
      <c r="BI416">
        <v>18</v>
      </c>
      <c r="BJ416" t="s">
        <v>401</v>
      </c>
      <c r="BK416" t="s">
        <v>95</v>
      </c>
      <c r="BL416" t="s">
        <v>401</v>
      </c>
      <c r="BM416" t="s">
        <v>6339</v>
      </c>
      <c r="BN416" t="s">
        <v>74</v>
      </c>
      <c r="BO416" t="s">
        <v>539</v>
      </c>
      <c r="BP416" t="s">
        <v>74</v>
      </c>
      <c r="BQ416" t="s">
        <v>74</v>
      </c>
      <c r="BR416" t="s">
        <v>97</v>
      </c>
      <c r="BS416" t="s">
        <v>6392</v>
      </c>
      <c r="BT416" t="str">
        <f>HYPERLINK("https%3A%2F%2Fwww.webofscience.com%2Fwos%2Fwoscc%2Ffull-record%2FWOS:000228012100011","View Full Record in Web of Science")</f>
        <v>View Full Record in Web of Science</v>
      </c>
    </row>
    <row r="417" spans="1:72" x14ac:dyDescent="0.15">
      <c r="A417" t="s">
        <v>72</v>
      </c>
      <c r="B417" t="s">
        <v>6393</v>
      </c>
      <c r="C417" t="s">
        <v>74</v>
      </c>
      <c r="D417" t="s">
        <v>74</v>
      </c>
      <c r="E417" t="s">
        <v>74</v>
      </c>
      <c r="F417" t="s">
        <v>6393</v>
      </c>
      <c r="G417" t="s">
        <v>74</v>
      </c>
      <c r="H417" t="s">
        <v>74</v>
      </c>
      <c r="I417" t="s">
        <v>6394</v>
      </c>
      <c r="J417" t="s">
        <v>4854</v>
      </c>
      <c r="K417" t="s">
        <v>74</v>
      </c>
      <c r="L417" t="s">
        <v>74</v>
      </c>
      <c r="M417" t="s">
        <v>77</v>
      </c>
      <c r="N417" t="s">
        <v>78</v>
      </c>
      <c r="O417" t="s">
        <v>74</v>
      </c>
      <c r="P417" t="s">
        <v>74</v>
      </c>
      <c r="Q417" t="s">
        <v>74</v>
      </c>
      <c r="R417" t="s">
        <v>74</v>
      </c>
      <c r="S417" t="s">
        <v>74</v>
      </c>
      <c r="T417" t="s">
        <v>74</v>
      </c>
      <c r="U417" t="s">
        <v>6395</v>
      </c>
      <c r="V417" t="s">
        <v>6396</v>
      </c>
      <c r="W417" t="s">
        <v>6397</v>
      </c>
      <c r="X417" t="s">
        <v>6398</v>
      </c>
      <c r="Y417" t="s">
        <v>6399</v>
      </c>
      <c r="Z417" t="s">
        <v>6400</v>
      </c>
      <c r="AA417" t="s">
        <v>6401</v>
      </c>
      <c r="AB417" t="s">
        <v>6368</v>
      </c>
      <c r="AC417" t="s">
        <v>74</v>
      </c>
      <c r="AD417" t="s">
        <v>74</v>
      </c>
      <c r="AE417" t="s">
        <v>74</v>
      </c>
      <c r="AF417" t="s">
        <v>74</v>
      </c>
      <c r="AG417">
        <v>14</v>
      </c>
      <c r="AH417">
        <v>44</v>
      </c>
      <c r="AI417">
        <v>52</v>
      </c>
      <c r="AJ417">
        <v>0</v>
      </c>
      <c r="AK417">
        <v>7</v>
      </c>
      <c r="AL417" t="s">
        <v>902</v>
      </c>
      <c r="AM417" t="s">
        <v>903</v>
      </c>
      <c r="AN417" t="s">
        <v>922</v>
      </c>
      <c r="AO417" t="s">
        <v>4863</v>
      </c>
      <c r="AP417" t="s">
        <v>74</v>
      </c>
      <c r="AQ417" t="s">
        <v>74</v>
      </c>
      <c r="AR417" t="s">
        <v>4864</v>
      </c>
      <c r="AS417" t="s">
        <v>4865</v>
      </c>
      <c r="AT417" t="s">
        <v>5640</v>
      </c>
      <c r="AU417">
        <v>2005</v>
      </c>
      <c r="AV417">
        <v>62</v>
      </c>
      <c r="AW417">
        <v>3</v>
      </c>
      <c r="AX417" t="s">
        <v>74</v>
      </c>
      <c r="AY417" t="s">
        <v>74</v>
      </c>
      <c r="AZ417" t="s">
        <v>74</v>
      </c>
      <c r="BA417" t="s">
        <v>74</v>
      </c>
      <c r="BB417">
        <v>716</v>
      </c>
      <c r="BC417">
        <v>720</v>
      </c>
      <c r="BD417" t="s">
        <v>74</v>
      </c>
      <c r="BE417" t="s">
        <v>6402</v>
      </c>
      <c r="BF417" t="str">
        <f>HYPERLINK("http://dx.doi.org/10.1175/JAS-3338.1","http://dx.doi.org/10.1175/JAS-3338.1")</f>
        <v>http://dx.doi.org/10.1175/JAS-3338.1</v>
      </c>
      <c r="BG417" t="s">
        <v>74</v>
      </c>
      <c r="BH417" t="s">
        <v>74</v>
      </c>
      <c r="BI417">
        <v>5</v>
      </c>
      <c r="BJ417" t="s">
        <v>401</v>
      </c>
      <c r="BK417" t="s">
        <v>95</v>
      </c>
      <c r="BL417" t="s">
        <v>401</v>
      </c>
      <c r="BM417" t="s">
        <v>6339</v>
      </c>
      <c r="BN417" t="s">
        <v>74</v>
      </c>
      <c r="BO417" t="s">
        <v>1776</v>
      </c>
      <c r="BP417" t="s">
        <v>74</v>
      </c>
      <c r="BQ417" t="s">
        <v>74</v>
      </c>
      <c r="BR417" t="s">
        <v>97</v>
      </c>
      <c r="BS417" t="s">
        <v>6403</v>
      </c>
      <c r="BT417" t="str">
        <f>HYPERLINK("https%3A%2F%2Fwww.webofscience.com%2Fwos%2Fwoscc%2Ffull-record%2FWOS:000228012100013","View Full Record in Web of Science")</f>
        <v>View Full Record in Web of Science</v>
      </c>
    </row>
    <row r="418" spans="1:72" x14ac:dyDescent="0.15">
      <c r="A418" t="s">
        <v>72</v>
      </c>
      <c r="B418" t="s">
        <v>6404</v>
      </c>
      <c r="C418" t="s">
        <v>74</v>
      </c>
      <c r="D418" t="s">
        <v>74</v>
      </c>
      <c r="E418" t="s">
        <v>74</v>
      </c>
      <c r="F418" t="s">
        <v>6404</v>
      </c>
      <c r="G418" t="s">
        <v>74</v>
      </c>
      <c r="H418" t="s">
        <v>74</v>
      </c>
      <c r="I418" t="s">
        <v>6405</v>
      </c>
      <c r="J418" t="s">
        <v>4854</v>
      </c>
      <c r="K418" t="s">
        <v>74</v>
      </c>
      <c r="L418" t="s">
        <v>74</v>
      </c>
      <c r="M418" t="s">
        <v>77</v>
      </c>
      <c r="N418" t="s">
        <v>78</v>
      </c>
      <c r="O418" t="s">
        <v>74</v>
      </c>
      <c r="P418" t="s">
        <v>74</v>
      </c>
      <c r="Q418" t="s">
        <v>74</v>
      </c>
      <c r="R418" t="s">
        <v>74</v>
      </c>
      <c r="S418" t="s">
        <v>74</v>
      </c>
      <c r="T418" t="s">
        <v>74</v>
      </c>
      <c r="U418" t="s">
        <v>6406</v>
      </c>
      <c r="V418" t="s">
        <v>6407</v>
      </c>
      <c r="W418" t="s">
        <v>6408</v>
      </c>
      <c r="X418" t="s">
        <v>6409</v>
      </c>
      <c r="Y418" t="s">
        <v>6410</v>
      </c>
      <c r="Z418" t="s">
        <v>6411</v>
      </c>
      <c r="AA418" t="s">
        <v>6412</v>
      </c>
      <c r="AB418" t="s">
        <v>6413</v>
      </c>
      <c r="AC418" t="s">
        <v>74</v>
      </c>
      <c r="AD418" t="s">
        <v>74</v>
      </c>
      <c r="AE418" t="s">
        <v>74</v>
      </c>
      <c r="AF418" t="s">
        <v>74</v>
      </c>
      <c r="AG418">
        <v>53</v>
      </c>
      <c r="AH418">
        <v>47</v>
      </c>
      <c r="AI418">
        <v>48</v>
      </c>
      <c r="AJ418">
        <v>0</v>
      </c>
      <c r="AK418">
        <v>9</v>
      </c>
      <c r="AL418" t="s">
        <v>902</v>
      </c>
      <c r="AM418" t="s">
        <v>903</v>
      </c>
      <c r="AN418" t="s">
        <v>922</v>
      </c>
      <c r="AO418" t="s">
        <v>4863</v>
      </c>
      <c r="AP418" t="s">
        <v>6346</v>
      </c>
      <c r="AQ418" t="s">
        <v>74</v>
      </c>
      <c r="AR418" t="s">
        <v>4864</v>
      </c>
      <c r="AS418" t="s">
        <v>4865</v>
      </c>
      <c r="AT418" t="s">
        <v>5640</v>
      </c>
      <c r="AU418">
        <v>2005</v>
      </c>
      <c r="AV418">
        <v>62</v>
      </c>
      <c r="AW418">
        <v>3</v>
      </c>
      <c r="AX418" t="s">
        <v>74</v>
      </c>
      <c r="AY418" t="s">
        <v>74</v>
      </c>
      <c r="AZ418" t="s">
        <v>74</v>
      </c>
      <c r="BA418" t="s">
        <v>74</v>
      </c>
      <c r="BB418">
        <v>721</v>
      </c>
      <c r="BC418">
        <v>734</v>
      </c>
      <c r="BD418" t="s">
        <v>74</v>
      </c>
      <c r="BE418" t="s">
        <v>6414</v>
      </c>
      <c r="BF418" t="str">
        <f>HYPERLINK("http://dx.doi.org/10.1175/JAS-3328.1","http://dx.doi.org/10.1175/JAS-3328.1")</f>
        <v>http://dx.doi.org/10.1175/JAS-3328.1</v>
      </c>
      <c r="BG418" t="s">
        <v>74</v>
      </c>
      <c r="BH418" t="s">
        <v>74</v>
      </c>
      <c r="BI418">
        <v>14</v>
      </c>
      <c r="BJ418" t="s">
        <v>401</v>
      </c>
      <c r="BK418" t="s">
        <v>95</v>
      </c>
      <c r="BL418" t="s">
        <v>401</v>
      </c>
      <c r="BM418" t="s">
        <v>6339</v>
      </c>
      <c r="BN418" t="s">
        <v>74</v>
      </c>
      <c r="BO418" t="s">
        <v>539</v>
      </c>
      <c r="BP418" t="s">
        <v>74</v>
      </c>
      <c r="BQ418" t="s">
        <v>74</v>
      </c>
      <c r="BR418" t="s">
        <v>97</v>
      </c>
      <c r="BS418" t="s">
        <v>6415</v>
      </c>
      <c r="BT418" t="str">
        <f>HYPERLINK("https%3A%2F%2Fwww.webofscience.com%2Fwos%2Fwoscc%2Ffull-record%2FWOS:000228012100014","View Full Record in Web of Science")</f>
        <v>View Full Record in Web of Science</v>
      </c>
    </row>
    <row r="419" spans="1:72" x14ac:dyDescent="0.15">
      <c r="A419" t="s">
        <v>72</v>
      </c>
      <c r="B419" t="s">
        <v>6416</v>
      </c>
      <c r="C419" t="s">
        <v>74</v>
      </c>
      <c r="D419" t="s">
        <v>74</v>
      </c>
      <c r="E419" t="s">
        <v>74</v>
      </c>
      <c r="F419" t="s">
        <v>6416</v>
      </c>
      <c r="G419" t="s">
        <v>74</v>
      </c>
      <c r="H419" t="s">
        <v>74</v>
      </c>
      <c r="I419" t="s">
        <v>6417</v>
      </c>
      <c r="J419" t="s">
        <v>4854</v>
      </c>
      <c r="K419" t="s">
        <v>74</v>
      </c>
      <c r="L419" t="s">
        <v>74</v>
      </c>
      <c r="M419" t="s">
        <v>77</v>
      </c>
      <c r="N419" t="s">
        <v>78</v>
      </c>
      <c r="O419" t="s">
        <v>74</v>
      </c>
      <c r="P419" t="s">
        <v>74</v>
      </c>
      <c r="Q419" t="s">
        <v>74</v>
      </c>
      <c r="R419" t="s">
        <v>74</v>
      </c>
      <c r="S419" t="s">
        <v>74</v>
      </c>
      <c r="T419" t="s">
        <v>74</v>
      </c>
      <c r="U419" t="s">
        <v>6418</v>
      </c>
      <c r="V419" t="s">
        <v>6419</v>
      </c>
      <c r="W419" t="s">
        <v>6420</v>
      </c>
      <c r="X419" t="s">
        <v>6421</v>
      </c>
      <c r="Y419" t="s">
        <v>6422</v>
      </c>
      <c r="Z419" t="s">
        <v>6423</v>
      </c>
      <c r="AA419" t="s">
        <v>6424</v>
      </c>
      <c r="AB419" t="s">
        <v>6425</v>
      </c>
      <c r="AC419" t="s">
        <v>74</v>
      </c>
      <c r="AD419" t="s">
        <v>74</v>
      </c>
      <c r="AE419" t="s">
        <v>74</v>
      </c>
      <c r="AF419" t="s">
        <v>74</v>
      </c>
      <c r="AG419">
        <v>36</v>
      </c>
      <c r="AH419">
        <v>25</v>
      </c>
      <c r="AI419">
        <v>25</v>
      </c>
      <c r="AJ419">
        <v>0</v>
      </c>
      <c r="AK419">
        <v>7</v>
      </c>
      <c r="AL419" t="s">
        <v>902</v>
      </c>
      <c r="AM419" t="s">
        <v>903</v>
      </c>
      <c r="AN419" t="s">
        <v>922</v>
      </c>
      <c r="AO419" t="s">
        <v>4863</v>
      </c>
      <c r="AP419" t="s">
        <v>6346</v>
      </c>
      <c r="AQ419" t="s">
        <v>74</v>
      </c>
      <c r="AR419" t="s">
        <v>4864</v>
      </c>
      <c r="AS419" t="s">
        <v>4865</v>
      </c>
      <c r="AT419" t="s">
        <v>5640</v>
      </c>
      <c r="AU419">
        <v>2005</v>
      </c>
      <c r="AV419">
        <v>62</v>
      </c>
      <c r="AW419">
        <v>3</v>
      </c>
      <c r="AX419" t="s">
        <v>74</v>
      </c>
      <c r="AY419" t="s">
        <v>74</v>
      </c>
      <c r="AZ419" t="s">
        <v>74</v>
      </c>
      <c r="BA419" t="s">
        <v>74</v>
      </c>
      <c r="BB419">
        <v>735</v>
      </c>
      <c r="BC419">
        <v>747</v>
      </c>
      <c r="BD419" t="s">
        <v>74</v>
      </c>
      <c r="BE419" t="s">
        <v>6426</v>
      </c>
      <c r="BF419" t="str">
        <f>HYPERLINK("http://dx.doi.org/10.1175/JAS-3315.1","http://dx.doi.org/10.1175/JAS-3315.1")</f>
        <v>http://dx.doi.org/10.1175/JAS-3315.1</v>
      </c>
      <c r="BG419" t="s">
        <v>74</v>
      </c>
      <c r="BH419" t="s">
        <v>74</v>
      </c>
      <c r="BI419">
        <v>13</v>
      </c>
      <c r="BJ419" t="s">
        <v>401</v>
      </c>
      <c r="BK419" t="s">
        <v>95</v>
      </c>
      <c r="BL419" t="s">
        <v>401</v>
      </c>
      <c r="BM419" t="s">
        <v>6339</v>
      </c>
      <c r="BN419" t="s">
        <v>74</v>
      </c>
      <c r="BO419" t="s">
        <v>539</v>
      </c>
      <c r="BP419" t="s">
        <v>74</v>
      </c>
      <c r="BQ419" t="s">
        <v>74</v>
      </c>
      <c r="BR419" t="s">
        <v>97</v>
      </c>
      <c r="BS419" t="s">
        <v>6427</v>
      </c>
      <c r="BT419" t="str">
        <f>HYPERLINK("https%3A%2F%2Fwww.webofscience.com%2Fwos%2Fwoscc%2Ffull-record%2FWOS:000228012100015","View Full Record in Web of Science")</f>
        <v>View Full Record in Web of Science</v>
      </c>
    </row>
    <row r="420" spans="1:72" x14ac:dyDescent="0.15">
      <c r="A420" t="s">
        <v>72</v>
      </c>
      <c r="B420" t="s">
        <v>6428</v>
      </c>
      <c r="C420" t="s">
        <v>74</v>
      </c>
      <c r="D420" t="s">
        <v>74</v>
      </c>
      <c r="E420" t="s">
        <v>74</v>
      </c>
      <c r="F420" t="s">
        <v>6428</v>
      </c>
      <c r="G420" t="s">
        <v>74</v>
      </c>
      <c r="H420" t="s">
        <v>74</v>
      </c>
      <c r="I420" t="s">
        <v>6429</v>
      </c>
      <c r="J420" t="s">
        <v>4854</v>
      </c>
      <c r="K420" t="s">
        <v>74</v>
      </c>
      <c r="L420" t="s">
        <v>74</v>
      </c>
      <c r="M420" t="s">
        <v>77</v>
      </c>
      <c r="N420" t="s">
        <v>78</v>
      </c>
      <c r="O420" t="s">
        <v>74</v>
      </c>
      <c r="P420" t="s">
        <v>74</v>
      </c>
      <c r="Q420" t="s">
        <v>74</v>
      </c>
      <c r="R420" t="s">
        <v>74</v>
      </c>
      <c r="S420" t="s">
        <v>74</v>
      </c>
      <c r="T420" t="s">
        <v>74</v>
      </c>
      <c r="U420" t="s">
        <v>6430</v>
      </c>
      <c r="V420" t="s">
        <v>6431</v>
      </c>
      <c r="W420" t="s">
        <v>6432</v>
      </c>
      <c r="X420" t="s">
        <v>6433</v>
      </c>
      <c r="Y420" t="s">
        <v>6434</v>
      </c>
      <c r="Z420" t="s">
        <v>6435</v>
      </c>
      <c r="AA420" t="s">
        <v>6436</v>
      </c>
      <c r="AB420" t="s">
        <v>6437</v>
      </c>
      <c r="AC420" t="s">
        <v>74</v>
      </c>
      <c r="AD420" t="s">
        <v>74</v>
      </c>
      <c r="AE420" t="s">
        <v>74</v>
      </c>
      <c r="AF420" t="s">
        <v>74</v>
      </c>
      <c r="AG420">
        <v>31</v>
      </c>
      <c r="AH420">
        <v>27</v>
      </c>
      <c r="AI420">
        <v>29</v>
      </c>
      <c r="AJ420">
        <v>0</v>
      </c>
      <c r="AK420">
        <v>4</v>
      </c>
      <c r="AL420" t="s">
        <v>902</v>
      </c>
      <c r="AM420" t="s">
        <v>903</v>
      </c>
      <c r="AN420" t="s">
        <v>922</v>
      </c>
      <c r="AO420" t="s">
        <v>4863</v>
      </c>
      <c r="AP420" t="s">
        <v>6346</v>
      </c>
      <c r="AQ420" t="s">
        <v>74</v>
      </c>
      <c r="AR420" t="s">
        <v>4864</v>
      </c>
      <c r="AS420" t="s">
        <v>4865</v>
      </c>
      <c r="AT420" t="s">
        <v>5640</v>
      </c>
      <c r="AU420">
        <v>2005</v>
      </c>
      <c r="AV420">
        <v>62</v>
      </c>
      <c r="AW420">
        <v>3</v>
      </c>
      <c r="AX420" t="s">
        <v>74</v>
      </c>
      <c r="AY420" t="s">
        <v>74</v>
      </c>
      <c r="AZ420" t="s">
        <v>74</v>
      </c>
      <c r="BA420" t="s">
        <v>74</v>
      </c>
      <c r="BB420">
        <v>748</v>
      </c>
      <c r="BC420">
        <v>764</v>
      </c>
      <c r="BD420" t="s">
        <v>74</v>
      </c>
      <c r="BE420" t="s">
        <v>6438</v>
      </c>
      <c r="BF420" t="str">
        <f>HYPERLINK("http://dx.doi.org/10.1175/JAS-3336.1","http://dx.doi.org/10.1175/JAS-3336.1")</f>
        <v>http://dx.doi.org/10.1175/JAS-3336.1</v>
      </c>
      <c r="BG420" t="s">
        <v>74</v>
      </c>
      <c r="BH420" t="s">
        <v>74</v>
      </c>
      <c r="BI420">
        <v>17</v>
      </c>
      <c r="BJ420" t="s">
        <v>401</v>
      </c>
      <c r="BK420" t="s">
        <v>95</v>
      </c>
      <c r="BL420" t="s">
        <v>401</v>
      </c>
      <c r="BM420" t="s">
        <v>6339</v>
      </c>
      <c r="BN420" t="s">
        <v>74</v>
      </c>
      <c r="BO420" t="s">
        <v>6439</v>
      </c>
      <c r="BP420" t="s">
        <v>74</v>
      </c>
      <c r="BQ420" t="s">
        <v>74</v>
      </c>
      <c r="BR420" t="s">
        <v>97</v>
      </c>
      <c r="BS420" t="s">
        <v>6440</v>
      </c>
      <c r="BT420" t="str">
        <f>HYPERLINK("https%3A%2F%2Fwww.webofscience.com%2Fwos%2Fwoscc%2Ffull-record%2FWOS:000228012100016","View Full Record in Web of Science")</f>
        <v>View Full Record in Web of Science</v>
      </c>
    </row>
    <row r="421" spans="1:72" x14ac:dyDescent="0.15">
      <c r="A421" t="s">
        <v>72</v>
      </c>
      <c r="B421" t="s">
        <v>6441</v>
      </c>
      <c r="C421" t="s">
        <v>74</v>
      </c>
      <c r="D421" t="s">
        <v>74</v>
      </c>
      <c r="E421" t="s">
        <v>74</v>
      </c>
      <c r="F421" t="s">
        <v>6441</v>
      </c>
      <c r="G421" t="s">
        <v>74</v>
      </c>
      <c r="H421" t="s">
        <v>74</v>
      </c>
      <c r="I421" t="s">
        <v>6442</v>
      </c>
      <c r="J421" t="s">
        <v>4854</v>
      </c>
      <c r="K421" t="s">
        <v>74</v>
      </c>
      <c r="L421" t="s">
        <v>74</v>
      </c>
      <c r="M421" t="s">
        <v>77</v>
      </c>
      <c r="N421" t="s">
        <v>78</v>
      </c>
      <c r="O421" t="s">
        <v>74</v>
      </c>
      <c r="P421" t="s">
        <v>74</v>
      </c>
      <c r="Q421" t="s">
        <v>74</v>
      </c>
      <c r="R421" t="s">
        <v>74</v>
      </c>
      <c r="S421" t="s">
        <v>74</v>
      </c>
      <c r="T421" t="s">
        <v>74</v>
      </c>
      <c r="U421" t="s">
        <v>6443</v>
      </c>
      <c r="V421" t="s">
        <v>6444</v>
      </c>
      <c r="W421" t="s">
        <v>6445</v>
      </c>
      <c r="X421" t="s">
        <v>6446</v>
      </c>
      <c r="Y421" t="s">
        <v>6447</v>
      </c>
      <c r="Z421" t="s">
        <v>6448</v>
      </c>
      <c r="AA421" t="s">
        <v>6449</v>
      </c>
      <c r="AB421" t="s">
        <v>6450</v>
      </c>
      <c r="AC421" t="s">
        <v>74</v>
      </c>
      <c r="AD421" t="s">
        <v>74</v>
      </c>
      <c r="AE421" t="s">
        <v>74</v>
      </c>
      <c r="AF421" t="s">
        <v>74</v>
      </c>
      <c r="AG421">
        <v>34</v>
      </c>
      <c r="AH421">
        <v>23</v>
      </c>
      <c r="AI421">
        <v>25</v>
      </c>
      <c r="AJ421">
        <v>0</v>
      </c>
      <c r="AK421">
        <v>6</v>
      </c>
      <c r="AL421" t="s">
        <v>902</v>
      </c>
      <c r="AM421" t="s">
        <v>903</v>
      </c>
      <c r="AN421" t="s">
        <v>922</v>
      </c>
      <c r="AO421" t="s">
        <v>4863</v>
      </c>
      <c r="AP421" t="s">
        <v>6346</v>
      </c>
      <c r="AQ421" t="s">
        <v>74</v>
      </c>
      <c r="AR421" t="s">
        <v>4864</v>
      </c>
      <c r="AS421" t="s">
        <v>4865</v>
      </c>
      <c r="AT421" t="s">
        <v>5640</v>
      </c>
      <c r="AU421">
        <v>2005</v>
      </c>
      <c r="AV421">
        <v>62</v>
      </c>
      <c r="AW421">
        <v>3</v>
      </c>
      <c r="AX421" t="s">
        <v>74</v>
      </c>
      <c r="AY421" t="s">
        <v>74</v>
      </c>
      <c r="AZ421" t="s">
        <v>74</v>
      </c>
      <c r="BA421" t="s">
        <v>74</v>
      </c>
      <c r="BB421">
        <v>765</v>
      </c>
      <c r="BC421">
        <v>777</v>
      </c>
      <c r="BD421" t="s">
        <v>74</v>
      </c>
      <c r="BE421" t="s">
        <v>6451</v>
      </c>
      <c r="BF421" t="str">
        <f>HYPERLINK("http://dx.doi.org/10.1175/JAS-3319.1","http://dx.doi.org/10.1175/JAS-3319.1")</f>
        <v>http://dx.doi.org/10.1175/JAS-3319.1</v>
      </c>
      <c r="BG421" t="s">
        <v>74</v>
      </c>
      <c r="BH421" t="s">
        <v>74</v>
      </c>
      <c r="BI421">
        <v>13</v>
      </c>
      <c r="BJ421" t="s">
        <v>401</v>
      </c>
      <c r="BK421" t="s">
        <v>95</v>
      </c>
      <c r="BL421" t="s">
        <v>401</v>
      </c>
      <c r="BM421" t="s">
        <v>6339</v>
      </c>
      <c r="BN421" t="s">
        <v>74</v>
      </c>
      <c r="BO421" t="s">
        <v>1776</v>
      </c>
      <c r="BP421" t="s">
        <v>74</v>
      </c>
      <c r="BQ421" t="s">
        <v>74</v>
      </c>
      <c r="BR421" t="s">
        <v>97</v>
      </c>
      <c r="BS421" t="s">
        <v>6452</v>
      </c>
      <c r="BT421" t="str">
        <f>HYPERLINK("https%3A%2F%2Fwww.webofscience.com%2Fwos%2Fwoscc%2Ffull-record%2FWOS:000228012100017","View Full Record in Web of Science")</f>
        <v>View Full Record in Web of Science</v>
      </c>
    </row>
    <row r="422" spans="1:72" x14ac:dyDescent="0.15">
      <c r="A422" t="s">
        <v>72</v>
      </c>
      <c r="B422" t="s">
        <v>6453</v>
      </c>
      <c r="C422" t="s">
        <v>74</v>
      </c>
      <c r="D422" t="s">
        <v>74</v>
      </c>
      <c r="E422" t="s">
        <v>74</v>
      </c>
      <c r="F422" t="s">
        <v>6453</v>
      </c>
      <c r="G422" t="s">
        <v>74</v>
      </c>
      <c r="H422" t="s">
        <v>74</v>
      </c>
      <c r="I422" t="s">
        <v>6454</v>
      </c>
      <c r="J422" t="s">
        <v>4854</v>
      </c>
      <c r="K422" t="s">
        <v>74</v>
      </c>
      <c r="L422" t="s">
        <v>74</v>
      </c>
      <c r="M422" t="s">
        <v>77</v>
      </c>
      <c r="N422" t="s">
        <v>78</v>
      </c>
      <c r="O422" t="s">
        <v>74</v>
      </c>
      <c r="P422" t="s">
        <v>74</v>
      </c>
      <c r="Q422" t="s">
        <v>74</v>
      </c>
      <c r="R422" t="s">
        <v>74</v>
      </c>
      <c r="S422" t="s">
        <v>74</v>
      </c>
      <c r="T422" t="s">
        <v>74</v>
      </c>
      <c r="U422" t="s">
        <v>6455</v>
      </c>
      <c r="V422" t="s">
        <v>6456</v>
      </c>
      <c r="W422" t="s">
        <v>6457</v>
      </c>
      <c r="X422" t="s">
        <v>6458</v>
      </c>
      <c r="Y422" t="s">
        <v>6459</v>
      </c>
      <c r="Z422" t="s">
        <v>6460</v>
      </c>
      <c r="AA422" t="s">
        <v>6461</v>
      </c>
      <c r="AB422" t="s">
        <v>6462</v>
      </c>
      <c r="AC422" t="s">
        <v>74</v>
      </c>
      <c r="AD422" t="s">
        <v>74</v>
      </c>
      <c r="AE422" t="s">
        <v>74</v>
      </c>
      <c r="AF422" t="s">
        <v>74</v>
      </c>
      <c r="AG422">
        <v>30</v>
      </c>
      <c r="AH422">
        <v>29</v>
      </c>
      <c r="AI422">
        <v>33</v>
      </c>
      <c r="AJ422">
        <v>0</v>
      </c>
      <c r="AK422">
        <v>1</v>
      </c>
      <c r="AL422" t="s">
        <v>902</v>
      </c>
      <c r="AM422" t="s">
        <v>903</v>
      </c>
      <c r="AN422" t="s">
        <v>922</v>
      </c>
      <c r="AO422" t="s">
        <v>4863</v>
      </c>
      <c r="AP422" t="s">
        <v>6346</v>
      </c>
      <c r="AQ422" t="s">
        <v>74</v>
      </c>
      <c r="AR422" t="s">
        <v>4864</v>
      </c>
      <c r="AS422" t="s">
        <v>4865</v>
      </c>
      <c r="AT422" t="s">
        <v>5640</v>
      </c>
      <c r="AU422">
        <v>2005</v>
      </c>
      <c r="AV422">
        <v>62</v>
      </c>
      <c r="AW422">
        <v>3</v>
      </c>
      <c r="AX422" t="s">
        <v>74</v>
      </c>
      <c r="AY422" t="s">
        <v>74</v>
      </c>
      <c r="AZ422" t="s">
        <v>74</v>
      </c>
      <c r="BA422" t="s">
        <v>74</v>
      </c>
      <c r="BB422">
        <v>778</v>
      </c>
      <c r="BC422">
        <v>785</v>
      </c>
      <c r="BD422" t="s">
        <v>74</v>
      </c>
      <c r="BE422" t="s">
        <v>6463</v>
      </c>
      <c r="BF422" t="str">
        <f>HYPERLINK("http://dx.doi.org/10.1175/JAS-3325.1","http://dx.doi.org/10.1175/JAS-3325.1")</f>
        <v>http://dx.doi.org/10.1175/JAS-3325.1</v>
      </c>
      <c r="BG422" t="s">
        <v>74</v>
      </c>
      <c r="BH422" t="s">
        <v>74</v>
      </c>
      <c r="BI422">
        <v>8</v>
      </c>
      <c r="BJ422" t="s">
        <v>401</v>
      </c>
      <c r="BK422" t="s">
        <v>95</v>
      </c>
      <c r="BL422" t="s">
        <v>401</v>
      </c>
      <c r="BM422" t="s">
        <v>6339</v>
      </c>
      <c r="BN422" t="s">
        <v>74</v>
      </c>
      <c r="BO422" t="s">
        <v>539</v>
      </c>
      <c r="BP422" t="s">
        <v>74</v>
      </c>
      <c r="BQ422" t="s">
        <v>74</v>
      </c>
      <c r="BR422" t="s">
        <v>97</v>
      </c>
      <c r="BS422" t="s">
        <v>6464</v>
      </c>
      <c r="BT422" t="str">
        <f>HYPERLINK("https%3A%2F%2Fwww.webofscience.com%2Fwos%2Fwoscc%2Ffull-record%2FWOS:000228012100018","View Full Record in Web of Science")</f>
        <v>View Full Record in Web of Science</v>
      </c>
    </row>
    <row r="423" spans="1:72" x14ac:dyDescent="0.15">
      <c r="A423" t="s">
        <v>72</v>
      </c>
      <c r="B423" t="s">
        <v>6465</v>
      </c>
      <c r="C423" t="s">
        <v>74</v>
      </c>
      <c r="D423" t="s">
        <v>74</v>
      </c>
      <c r="E423" t="s">
        <v>74</v>
      </c>
      <c r="F423" t="s">
        <v>6465</v>
      </c>
      <c r="G423" t="s">
        <v>74</v>
      </c>
      <c r="H423" t="s">
        <v>74</v>
      </c>
      <c r="I423" t="s">
        <v>6466</v>
      </c>
      <c r="J423" t="s">
        <v>4854</v>
      </c>
      <c r="K423" t="s">
        <v>74</v>
      </c>
      <c r="L423" t="s">
        <v>74</v>
      </c>
      <c r="M423" t="s">
        <v>77</v>
      </c>
      <c r="N423" t="s">
        <v>78</v>
      </c>
      <c r="O423" t="s">
        <v>74</v>
      </c>
      <c r="P423" t="s">
        <v>74</v>
      </c>
      <c r="Q423" t="s">
        <v>74</v>
      </c>
      <c r="R423" t="s">
        <v>74</v>
      </c>
      <c r="S423" t="s">
        <v>74</v>
      </c>
      <c r="T423" t="s">
        <v>74</v>
      </c>
      <c r="U423" t="s">
        <v>6467</v>
      </c>
      <c r="V423" t="s">
        <v>6468</v>
      </c>
      <c r="W423" t="s">
        <v>6469</v>
      </c>
      <c r="X423" t="s">
        <v>1872</v>
      </c>
      <c r="Y423" t="s">
        <v>6470</v>
      </c>
      <c r="Z423" t="s">
        <v>6471</v>
      </c>
      <c r="AA423" t="s">
        <v>6472</v>
      </c>
      <c r="AB423" t="s">
        <v>6473</v>
      </c>
      <c r="AC423" t="s">
        <v>74</v>
      </c>
      <c r="AD423" t="s">
        <v>74</v>
      </c>
      <c r="AE423" t="s">
        <v>74</v>
      </c>
      <c r="AF423" t="s">
        <v>74</v>
      </c>
      <c r="AG423">
        <v>29</v>
      </c>
      <c r="AH423">
        <v>51</v>
      </c>
      <c r="AI423">
        <v>54</v>
      </c>
      <c r="AJ423">
        <v>1</v>
      </c>
      <c r="AK423">
        <v>10</v>
      </c>
      <c r="AL423" t="s">
        <v>902</v>
      </c>
      <c r="AM423" t="s">
        <v>903</v>
      </c>
      <c r="AN423" t="s">
        <v>922</v>
      </c>
      <c r="AO423" t="s">
        <v>4863</v>
      </c>
      <c r="AP423" t="s">
        <v>6346</v>
      </c>
      <c r="AQ423" t="s">
        <v>74</v>
      </c>
      <c r="AR423" t="s">
        <v>4864</v>
      </c>
      <c r="AS423" t="s">
        <v>4865</v>
      </c>
      <c r="AT423" t="s">
        <v>5640</v>
      </c>
      <c r="AU423">
        <v>2005</v>
      </c>
      <c r="AV423">
        <v>62</v>
      </c>
      <c r="AW423">
        <v>3</v>
      </c>
      <c r="AX423" t="s">
        <v>74</v>
      </c>
      <c r="AY423" t="s">
        <v>74</v>
      </c>
      <c r="AZ423" t="s">
        <v>74</v>
      </c>
      <c r="BA423" t="s">
        <v>74</v>
      </c>
      <c r="BB423">
        <v>787</v>
      </c>
      <c r="BC423">
        <v>800</v>
      </c>
      <c r="BD423" t="s">
        <v>74</v>
      </c>
      <c r="BE423" t="s">
        <v>6474</v>
      </c>
      <c r="BF423" t="str">
        <f>HYPERLINK("http://dx.doi.org/10.1175/JAS-3332.1","http://dx.doi.org/10.1175/JAS-3332.1")</f>
        <v>http://dx.doi.org/10.1175/JAS-3332.1</v>
      </c>
      <c r="BG423" t="s">
        <v>74</v>
      </c>
      <c r="BH423" t="s">
        <v>74</v>
      </c>
      <c r="BI423">
        <v>14</v>
      </c>
      <c r="BJ423" t="s">
        <v>401</v>
      </c>
      <c r="BK423" t="s">
        <v>95</v>
      </c>
      <c r="BL423" t="s">
        <v>401</v>
      </c>
      <c r="BM423" t="s">
        <v>6339</v>
      </c>
      <c r="BN423" t="s">
        <v>74</v>
      </c>
      <c r="BO423" t="s">
        <v>1776</v>
      </c>
      <c r="BP423" t="s">
        <v>74</v>
      </c>
      <c r="BQ423" t="s">
        <v>74</v>
      </c>
      <c r="BR423" t="s">
        <v>97</v>
      </c>
      <c r="BS423" t="s">
        <v>6475</v>
      </c>
      <c r="BT423" t="str">
        <f>HYPERLINK("https%3A%2F%2Fwww.webofscience.com%2Fwos%2Fwoscc%2Ffull-record%2FWOS:000228012100019","View Full Record in Web of Science")</f>
        <v>View Full Record in Web of Science</v>
      </c>
    </row>
    <row r="424" spans="1:72" x14ac:dyDescent="0.15">
      <c r="A424" t="s">
        <v>72</v>
      </c>
      <c r="B424" t="s">
        <v>6476</v>
      </c>
      <c r="C424" t="s">
        <v>74</v>
      </c>
      <c r="D424" t="s">
        <v>74</v>
      </c>
      <c r="E424" t="s">
        <v>74</v>
      </c>
      <c r="F424" t="s">
        <v>6476</v>
      </c>
      <c r="G424" t="s">
        <v>74</v>
      </c>
      <c r="H424" t="s">
        <v>74</v>
      </c>
      <c r="I424" t="s">
        <v>6477</v>
      </c>
      <c r="J424" t="s">
        <v>4854</v>
      </c>
      <c r="K424" t="s">
        <v>74</v>
      </c>
      <c r="L424" t="s">
        <v>74</v>
      </c>
      <c r="M424" t="s">
        <v>77</v>
      </c>
      <c r="N424" t="s">
        <v>78</v>
      </c>
      <c r="O424" t="s">
        <v>74</v>
      </c>
      <c r="P424" t="s">
        <v>74</v>
      </c>
      <c r="Q424" t="s">
        <v>74</v>
      </c>
      <c r="R424" t="s">
        <v>74</v>
      </c>
      <c r="S424" t="s">
        <v>74</v>
      </c>
      <c r="T424" t="s">
        <v>74</v>
      </c>
      <c r="U424" t="s">
        <v>6478</v>
      </c>
      <c r="V424" t="s">
        <v>6479</v>
      </c>
      <c r="W424" t="s">
        <v>6480</v>
      </c>
      <c r="X424" t="s">
        <v>6481</v>
      </c>
      <c r="Y424" t="s">
        <v>6482</v>
      </c>
      <c r="Z424" t="s">
        <v>6483</v>
      </c>
      <c r="AA424" t="s">
        <v>6484</v>
      </c>
      <c r="AB424" t="s">
        <v>6485</v>
      </c>
      <c r="AC424" t="s">
        <v>74</v>
      </c>
      <c r="AD424" t="s">
        <v>74</v>
      </c>
      <c r="AE424" t="s">
        <v>74</v>
      </c>
      <c r="AF424" t="s">
        <v>74</v>
      </c>
      <c r="AG424">
        <v>24</v>
      </c>
      <c r="AH424">
        <v>15</v>
      </c>
      <c r="AI424">
        <v>18</v>
      </c>
      <c r="AJ424">
        <v>0</v>
      </c>
      <c r="AK424">
        <v>5</v>
      </c>
      <c r="AL424" t="s">
        <v>902</v>
      </c>
      <c r="AM424" t="s">
        <v>903</v>
      </c>
      <c r="AN424" t="s">
        <v>922</v>
      </c>
      <c r="AO424" t="s">
        <v>4863</v>
      </c>
      <c r="AP424" t="s">
        <v>6346</v>
      </c>
      <c r="AQ424" t="s">
        <v>74</v>
      </c>
      <c r="AR424" t="s">
        <v>4864</v>
      </c>
      <c r="AS424" t="s">
        <v>4865</v>
      </c>
      <c r="AT424" t="s">
        <v>5640</v>
      </c>
      <c r="AU424">
        <v>2005</v>
      </c>
      <c r="AV424">
        <v>62</v>
      </c>
      <c r="AW424">
        <v>3</v>
      </c>
      <c r="AX424" t="s">
        <v>74</v>
      </c>
      <c r="AY424" t="s">
        <v>74</v>
      </c>
      <c r="AZ424" t="s">
        <v>74</v>
      </c>
      <c r="BA424" t="s">
        <v>74</v>
      </c>
      <c r="BB424">
        <v>801</v>
      </c>
      <c r="BC424">
        <v>811</v>
      </c>
      <c r="BD424" t="s">
        <v>74</v>
      </c>
      <c r="BE424" t="s">
        <v>6486</v>
      </c>
      <c r="BF424" t="str">
        <f>HYPERLINK("http://dx.doi.org/10.1175/JAS-3324.1","http://dx.doi.org/10.1175/JAS-3324.1")</f>
        <v>http://dx.doi.org/10.1175/JAS-3324.1</v>
      </c>
      <c r="BG424" t="s">
        <v>74</v>
      </c>
      <c r="BH424" t="s">
        <v>74</v>
      </c>
      <c r="BI424">
        <v>11</v>
      </c>
      <c r="BJ424" t="s">
        <v>401</v>
      </c>
      <c r="BK424" t="s">
        <v>95</v>
      </c>
      <c r="BL424" t="s">
        <v>401</v>
      </c>
      <c r="BM424" t="s">
        <v>6339</v>
      </c>
      <c r="BN424" t="s">
        <v>74</v>
      </c>
      <c r="BO424" t="s">
        <v>1776</v>
      </c>
      <c r="BP424" t="s">
        <v>74</v>
      </c>
      <c r="BQ424" t="s">
        <v>74</v>
      </c>
      <c r="BR424" t="s">
        <v>97</v>
      </c>
      <c r="BS424" t="s">
        <v>6487</v>
      </c>
      <c r="BT424" t="str">
        <f>HYPERLINK("https%3A%2F%2Fwww.webofscience.com%2Fwos%2Fwoscc%2Ffull-record%2FWOS:000228012100020","View Full Record in Web of Science")</f>
        <v>View Full Record in Web of Science</v>
      </c>
    </row>
    <row r="425" spans="1:72" x14ac:dyDescent="0.15">
      <c r="A425" t="s">
        <v>72</v>
      </c>
      <c r="B425" t="s">
        <v>6488</v>
      </c>
      <c r="C425" t="s">
        <v>74</v>
      </c>
      <c r="D425" t="s">
        <v>74</v>
      </c>
      <c r="E425" t="s">
        <v>74</v>
      </c>
      <c r="F425" t="s">
        <v>6488</v>
      </c>
      <c r="G425" t="s">
        <v>74</v>
      </c>
      <c r="H425" t="s">
        <v>74</v>
      </c>
      <c r="I425" t="s">
        <v>6489</v>
      </c>
      <c r="J425" t="s">
        <v>4854</v>
      </c>
      <c r="K425" t="s">
        <v>74</v>
      </c>
      <c r="L425" t="s">
        <v>74</v>
      </c>
      <c r="M425" t="s">
        <v>77</v>
      </c>
      <c r="N425" t="s">
        <v>78</v>
      </c>
      <c r="O425" t="s">
        <v>74</v>
      </c>
      <c r="P425" t="s">
        <v>74</v>
      </c>
      <c r="Q425" t="s">
        <v>74</v>
      </c>
      <c r="R425" t="s">
        <v>74</v>
      </c>
      <c r="S425" t="s">
        <v>74</v>
      </c>
      <c r="T425" t="s">
        <v>74</v>
      </c>
      <c r="U425" t="s">
        <v>6490</v>
      </c>
      <c r="V425" t="s">
        <v>6491</v>
      </c>
      <c r="W425" t="s">
        <v>6492</v>
      </c>
      <c r="X425" t="s">
        <v>6493</v>
      </c>
      <c r="Y425" t="s">
        <v>6494</v>
      </c>
      <c r="Z425" t="s">
        <v>6495</v>
      </c>
      <c r="AA425" t="s">
        <v>74</v>
      </c>
      <c r="AB425" t="s">
        <v>6496</v>
      </c>
      <c r="AC425" t="s">
        <v>74</v>
      </c>
      <c r="AD425" t="s">
        <v>74</v>
      </c>
      <c r="AE425" t="s">
        <v>74</v>
      </c>
      <c r="AF425" t="s">
        <v>74</v>
      </c>
      <c r="AG425">
        <v>37</v>
      </c>
      <c r="AH425">
        <v>15</v>
      </c>
      <c r="AI425">
        <v>15</v>
      </c>
      <c r="AJ425">
        <v>0</v>
      </c>
      <c r="AK425">
        <v>3</v>
      </c>
      <c r="AL425" t="s">
        <v>902</v>
      </c>
      <c r="AM425" t="s">
        <v>903</v>
      </c>
      <c r="AN425" t="s">
        <v>922</v>
      </c>
      <c r="AO425" t="s">
        <v>4863</v>
      </c>
      <c r="AP425" t="s">
        <v>6346</v>
      </c>
      <c r="AQ425" t="s">
        <v>74</v>
      </c>
      <c r="AR425" t="s">
        <v>4864</v>
      </c>
      <c r="AS425" t="s">
        <v>4865</v>
      </c>
      <c r="AT425" t="s">
        <v>5640</v>
      </c>
      <c r="AU425">
        <v>2005</v>
      </c>
      <c r="AV425">
        <v>62</v>
      </c>
      <c r="AW425">
        <v>3</v>
      </c>
      <c r="AX425" t="s">
        <v>74</v>
      </c>
      <c r="AY425" t="s">
        <v>74</v>
      </c>
      <c r="AZ425" t="s">
        <v>74</v>
      </c>
      <c r="BA425" t="s">
        <v>74</v>
      </c>
      <c r="BB425">
        <v>812</v>
      </c>
      <c r="BC425">
        <v>821</v>
      </c>
      <c r="BD425" t="s">
        <v>74</v>
      </c>
      <c r="BE425" t="s">
        <v>6497</v>
      </c>
      <c r="BF425" t="str">
        <f>HYPERLINK("http://dx.doi.org/10.1175/JAS-3337.1","http://dx.doi.org/10.1175/JAS-3337.1")</f>
        <v>http://dx.doi.org/10.1175/JAS-3337.1</v>
      </c>
      <c r="BG425" t="s">
        <v>74</v>
      </c>
      <c r="BH425" t="s">
        <v>74</v>
      </c>
      <c r="BI425">
        <v>10</v>
      </c>
      <c r="BJ425" t="s">
        <v>401</v>
      </c>
      <c r="BK425" t="s">
        <v>95</v>
      </c>
      <c r="BL425" t="s">
        <v>401</v>
      </c>
      <c r="BM425" t="s">
        <v>6339</v>
      </c>
      <c r="BN425" t="s">
        <v>74</v>
      </c>
      <c r="BO425" t="s">
        <v>1776</v>
      </c>
      <c r="BP425" t="s">
        <v>74</v>
      </c>
      <c r="BQ425" t="s">
        <v>74</v>
      </c>
      <c r="BR425" t="s">
        <v>97</v>
      </c>
      <c r="BS425" t="s">
        <v>6498</v>
      </c>
      <c r="BT425" t="str">
        <f>HYPERLINK("https%3A%2F%2Fwww.webofscience.com%2Fwos%2Fwoscc%2Ffull-record%2FWOS:000228012100021","View Full Record in Web of Science")</f>
        <v>View Full Record in Web of Science</v>
      </c>
    </row>
    <row r="426" spans="1:72" x14ac:dyDescent="0.15">
      <c r="A426" t="s">
        <v>72</v>
      </c>
      <c r="B426" t="s">
        <v>6499</v>
      </c>
      <c r="C426" t="s">
        <v>74</v>
      </c>
      <c r="D426" t="s">
        <v>74</v>
      </c>
      <c r="E426" t="s">
        <v>74</v>
      </c>
      <c r="F426" t="s">
        <v>6499</v>
      </c>
      <c r="G426" t="s">
        <v>74</v>
      </c>
      <c r="H426" t="s">
        <v>74</v>
      </c>
      <c r="I426" t="s">
        <v>6500</v>
      </c>
      <c r="J426" t="s">
        <v>4854</v>
      </c>
      <c r="K426" t="s">
        <v>74</v>
      </c>
      <c r="L426" t="s">
        <v>74</v>
      </c>
      <c r="M426" t="s">
        <v>77</v>
      </c>
      <c r="N426" t="s">
        <v>78</v>
      </c>
      <c r="O426" t="s">
        <v>74</v>
      </c>
      <c r="P426" t="s">
        <v>74</v>
      </c>
      <c r="Q426" t="s">
        <v>74</v>
      </c>
      <c r="R426" t="s">
        <v>74</v>
      </c>
      <c r="S426" t="s">
        <v>74</v>
      </c>
      <c r="T426" t="s">
        <v>74</v>
      </c>
      <c r="U426" t="s">
        <v>6501</v>
      </c>
      <c r="V426" t="s">
        <v>6502</v>
      </c>
      <c r="W426" t="s">
        <v>6503</v>
      </c>
      <c r="X426" t="s">
        <v>6504</v>
      </c>
      <c r="Y426" t="s">
        <v>6505</v>
      </c>
      <c r="Z426" t="s">
        <v>6506</v>
      </c>
      <c r="AA426" t="s">
        <v>6507</v>
      </c>
      <c r="AB426" t="s">
        <v>6508</v>
      </c>
      <c r="AC426" t="s">
        <v>74</v>
      </c>
      <c r="AD426" t="s">
        <v>74</v>
      </c>
      <c r="AE426" t="s">
        <v>74</v>
      </c>
      <c r="AF426" t="s">
        <v>74</v>
      </c>
      <c r="AG426">
        <v>23</v>
      </c>
      <c r="AH426">
        <v>27</v>
      </c>
      <c r="AI426">
        <v>30</v>
      </c>
      <c r="AJ426">
        <v>0</v>
      </c>
      <c r="AK426">
        <v>5</v>
      </c>
      <c r="AL426" t="s">
        <v>902</v>
      </c>
      <c r="AM426" t="s">
        <v>903</v>
      </c>
      <c r="AN426" t="s">
        <v>922</v>
      </c>
      <c r="AO426" t="s">
        <v>4863</v>
      </c>
      <c r="AP426" t="s">
        <v>6346</v>
      </c>
      <c r="AQ426" t="s">
        <v>74</v>
      </c>
      <c r="AR426" t="s">
        <v>4864</v>
      </c>
      <c r="AS426" t="s">
        <v>4865</v>
      </c>
      <c r="AT426" t="s">
        <v>5640</v>
      </c>
      <c r="AU426">
        <v>2005</v>
      </c>
      <c r="AV426">
        <v>62</v>
      </c>
      <c r="AW426">
        <v>3</v>
      </c>
      <c r="AX426" t="s">
        <v>74</v>
      </c>
      <c r="AY426" t="s">
        <v>74</v>
      </c>
      <c r="AZ426" t="s">
        <v>74</v>
      </c>
      <c r="BA426" t="s">
        <v>74</v>
      </c>
      <c r="BB426">
        <v>822</v>
      </c>
      <c r="BC426">
        <v>837</v>
      </c>
      <c r="BD426" t="s">
        <v>74</v>
      </c>
      <c r="BE426" t="s">
        <v>6509</v>
      </c>
      <c r="BF426" t="str">
        <f>HYPERLINK("http://dx.doi.org/10.1175/JAS-3335.1","http://dx.doi.org/10.1175/JAS-3335.1")</f>
        <v>http://dx.doi.org/10.1175/JAS-3335.1</v>
      </c>
      <c r="BG426" t="s">
        <v>74</v>
      </c>
      <c r="BH426" t="s">
        <v>74</v>
      </c>
      <c r="BI426">
        <v>16</v>
      </c>
      <c r="BJ426" t="s">
        <v>401</v>
      </c>
      <c r="BK426" t="s">
        <v>95</v>
      </c>
      <c r="BL426" t="s">
        <v>401</v>
      </c>
      <c r="BM426" t="s">
        <v>6339</v>
      </c>
      <c r="BN426" t="s">
        <v>74</v>
      </c>
      <c r="BO426" t="s">
        <v>539</v>
      </c>
      <c r="BP426" t="s">
        <v>74</v>
      </c>
      <c r="BQ426" t="s">
        <v>74</v>
      </c>
      <c r="BR426" t="s">
        <v>97</v>
      </c>
      <c r="BS426" t="s">
        <v>6510</v>
      </c>
      <c r="BT426" t="str">
        <f>HYPERLINK("https%3A%2F%2Fwww.webofscience.com%2Fwos%2Fwoscc%2Ffull-record%2FWOS:000228012100022","View Full Record in Web of Science")</f>
        <v>View Full Record in Web of Science</v>
      </c>
    </row>
    <row r="427" spans="1:72" x14ac:dyDescent="0.15">
      <c r="A427" t="s">
        <v>72</v>
      </c>
      <c r="B427" t="s">
        <v>6511</v>
      </c>
      <c r="C427" t="s">
        <v>74</v>
      </c>
      <c r="D427" t="s">
        <v>74</v>
      </c>
      <c r="E427" t="s">
        <v>74</v>
      </c>
      <c r="F427" t="s">
        <v>6511</v>
      </c>
      <c r="G427" t="s">
        <v>74</v>
      </c>
      <c r="H427" t="s">
        <v>74</v>
      </c>
      <c r="I427" t="s">
        <v>6512</v>
      </c>
      <c r="J427" t="s">
        <v>4854</v>
      </c>
      <c r="K427" t="s">
        <v>74</v>
      </c>
      <c r="L427" t="s">
        <v>74</v>
      </c>
      <c r="M427" t="s">
        <v>77</v>
      </c>
      <c r="N427" t="s">
        <v>78</v>
      </c>
      <c r="O427" t="s">
        <v>74</v>
      </c>
      <c r="P427" t="s">
        <v>74</v>
      </c>
      <c r="Q427" t="s">
        <v>74</v>
      </c>
      <c r="R427" t="s">
        <v>74</v>
      </c>
      <c r="S427" t="s">
        <v>74</v>
      </c>
      <c r="T427" t="s">
        <v>74</v>
      </c>
      <c r="U427" t="s">
        <v>6513</v>
      </c>
      <c r="V427" t="s">
        <v>6514</v>
      </c>
      <c r="W427" t="s">
        <v>6492</v>
      </c>
      <c r="X427" t="s">
        <v>6493</v>
      </c>
      <c r="Y427" t="s">
        <v>6515</v>
      </c>
      <c r="Z427" t="s">
        <v>6516</v>
      </c>
      <c r="AA427" t="s">
        <v>74</v>
      </c>
      <c r="AB427" t="s">
        <v>74</v>
      </c>
      <c r="AC427" t="s">
        <v>74</v>
      </c>
      <c r="AD427" t="s">
        <v>74</v>
      </c>
      <c r="AE427" t="s">
        <v>74</v>
      </c>
      <c r="AF427" t="s">
        <v>74</v>
      </c>
      <c r="AG427">
        <v>14</v>
      </c>
      <c r="AH427">
        <v>9</v>
      </c>
      <c r="AI427">
        <v>10</v>
      </c>
      <c r="AJ427">
        <v>1</v>
      </c>
      <c r="AK427">
        <v>14</v>
      </c>
      <c r="AL427" t="s">
        <v>902</v>
      </c>
      <c r="AM427" t="s">
        <v>903</v>
      </c>
      <c r="AN427" t="s">
        <v>922</v>
      </c>
      <c r="AO427" t="s">
        <v>4863</v>
      </c>
      <c r="AP427" t="s">
        <v>74</v>
      </c>
      <c r="AQ427" t="s">
        <v>74</v>
      </c>
      <c r="AR427" t="s">
        <v>4864</v>
      </c>
      <c r="AS427" t="s">
        <v>4865</v>
      </c>
      <c r="AT427" t="s">
        <v>5640</v>
      </c>
      <c r="AU427">
        <v>2005</v>
      </c>
      <c r="AV427">
        <v>62</v>
      </c>
      <c r="AW427">
        <v>3</v>
      </c>
      <c r="AX427" t="s">
        <v>74</v>
      </c>
      <c r="AY427" t="s">
        <v>74</v>
      </c>
      <c r="AZ427" t="s">
        <v>74</v>
      </c>
      <c r="BA427" t="s">
        <v>74</v>
      </c>
      <c r="BB427">
        <v>838</v>
      </c>
      <c r="BC427">
        <v>847</v>
      </c>
      <c r="BD427" t="s">
        <v>74</v>
      </c>
      <c r="BE427" t="s">
        <v>6517</v>
      </c>
      <c r="BF427" t="str">
        <f>HYPERLINK("http://dx.doi.org/10.1175/JAS-3320.1","http://dx.doi.org/10.1175/JAS-3320.1")</f>
        <v>http://dx.doi.org/10.1175/JAS-3320.1</v>
      </c>
      <c r="BG427" t="s">
        <v>74</v>
      </c>
      <c r="BH427" t="s">
        <v>74</v>
      </c>
      <c r="BI427">
        <v>10</v>
      </c>
      <c r="BJ427" t="s">
        <v>401</v>
      </c>
      <c r="BK427" t="s">
        <v>95</v>
      </c>
      <c r="BL427" t="s">
        <v>401</v>
      </c>
      <c r="BM427" t="s">
        <v>6339</v>
      </c>
      <c r="BN427" t="s">
        <v>74</v>
      </c>
      <c r="BO427" t="s">
        <v>1776</v>
      </c>
      <c r="BP427" t="s">
        <v>74</v>
      </c>
      <c r="BQ427" t="s">
        <v>74</v>
      </c>
      <c r="BR427" t="s">
        <v>97</v>
      </c>
      <c r="BS427" t="s">
        <v>6518</v>
      </c>
      <c r="BT427" t="str">
        <f>HYPERLINK("https%3A%2F%2Fwww.webofscience.com%2Fwos%2Fwoscc%2Ffull-record%2FWOS:000228012100023","View Full Record in Web of Science")</f>
        <v>View Full Record in Web of Science</v>
      </c>
    </row>
    <row r="428" spans="1:72" x14ac:dyDescent="0.15">
      <c r="A428" t="s">
        <v>72</v>
      </c>
      <c r="B428" t="s">
        <v>6519</v>
      </c>
      <c r="C428" t="s">
        <v>74</v>
      </c>
      <c r="D428" t="s">
        <v>74</v>
      </c>
      <c r="E428" t="s">
        <v>74</v>
      </c>
      <c r="F428" t="s">
        <v>6519</v>
      </c>
      <c r="G428" t="s">
        <v>74</v>
      </c>
      <c r="H428" t="s">
        <v>74</v>
      </c>
      <c r="I428" t="s">
        <v>6520</v>
      </c>
      <c r="J428" t="s">
        <v>4854</v>
      </c>
      <c r="K428" t="s">
        <v>74</v>
      </c>
      <c r="L428" t="s">
        <v>74</v>
      </c>
      <c r="M428" t="s">
        <v>77</v>
      </c>
      <c r="N428" t="s">
        <v>78</v>
      </c>
      <c r="O428" t="s">
        <v>74</v>
      </c>
      <c r="P428" t="s">
        <v>74</v>
      </c>
      <c r="Q428" t="s">
        <v>74</v>
      </c>
      <c r="R428" t="s">
        <v>74</v>
      </c>
      <c r="S428" t="s">
        <v>74</v>
      </c>
      <c r="T428" t="s">
        <v>74</v>
      </c>
      <c r="U428" t="s">
        <v>6521</v>
      </c>
      <c r="V428" t="s">
        <v>6522</v>
      </c>
      <c r="W428" t="s">
        <v>6523</v>
      </c>
      <c r="X428" t="s">
        <v>6524</v>
      </c>
      <c r="Y428" t="s">
        <v>6525</v>
      </c>
      <c r="Z428" t="s">
        <v>6526</v>
      </c>
      <c r="AA428" t="s">
        <v>6527</v>
      </c>
      <c r="AB428" t="s">
        <v>6528</v>
      </c>
      <c r="AC428" t="s">
        <v>74</v>
      </c>
      <c r="AD428" t="s">
        <v>74</v>
      </c>
      <c r="AE428" t="s">
        <v>74</v>
      </c>
      <c r="AF428" t="s">
        <v>74</v>
      </c>
      <c r="AG428">
        <v>27</v>
      </c>
      <c r="AH428">
        <v>26</v>
      </c>
      <c r="AI428">
        <v>27</v>
      </c>
      <c r="AJ428">
        <v>0</v>
      </c>
      <c r="AK428">
        <v>6</v>
      </c>
      <c r="AL428" t="s">
        <v>902</v>
      </c>
      <c r="AM428" t="s">
        <v>903</v>
      </c>
      <c r="AN428" t="s">
        <v>922</v>
      </c>
      <c r="AO428" t="s">
        <v>4863</v>
      </c>
      <c r="AP428" t="s">
        <v>6346</v>
      </c>
      <c r="AQ428" t="s">
        <v>74</v>
      </c>
      <c r="AR428" t="s">
        <v>4864</v>
      </c>
      <c r="AS428" t="s">
        <v>4865</v>
      </c>
      <c r="AT428" t="s">
        <v>5640</v>
      </c>
      <c r="AU428">
        <v>2005</v>
      </c>
      <c r="AV428">
        <v>62</v>
      </c>
      <c r="AW428">
        <v>3</v>
      </c>
      <c r="AX428" t="s">
        <v>74</v>
      </c>
      <c r="AY428" t="s">
        <v>74</v>
      </c>
      <c r="AZ428" t="s">
        <v>74</v>
      </c>
      <c r="BA428" t="s">
        <v>74</v>
      </c>
      <c r="BB428">
        <v>848</v>
      </c>
      <c r="BC428">
        <v>859</v>
      </c>
      <c r="BD428" t="s">
        <v>74</v>
      </c>
      <c r="BE428" t="s">
        <v>6529</v>
      </c>
      <c r="BF428" t="str">
        <f>HYPERLINK("http://dx.doi.org/10.1175/JAS-3329.1","http://dx.doi.org/10.1175/JAS-3329.1")</f>
        <v>http://dx.doi.org/10.1175/JAS-3329.1</v>
      </c>
      <c r="BG428" t="s">
        <v>74</v>
      </c>
      <c r="BH428" t="s">
        <v>74</v>
      </c>
      <c r="BI428">
        <v>12</v>
      </c>
      <c r="BJ428" t="s">
        <v>401</v>
      </c>
      <c r="BK428" t="s">
        <v>95</v>
      </c>
      <c r="BL428" t="s">
        <v>401</v>
      </c>
      <c r="BM428" t="s">
        <v>6339</v>
      </c>
      <c r="BN428" t="s">
        <v>74</v>
      </c>
      <c r="BO428" t="s">
        <v>750</v>
      </c>
      <c r="BP428" t="s">
        <v>74</v>
      </c>
      <c r="BQ428" t="s">
        <v>74</v>
      </c>
      <c r="BR428" t="s">
        <v>97</v>
      </c>
      <c r="BS428" t="s">
        <v>6530</v>
      </c>
      <c r="BT428" t="str">
        <f>HYPERLINK("https%3A%2F%2Fwww.webofscience.com%2Fwos%2Fwoscc%2Ffull-record%2FWOS:000228012100024","View Full Record in Web of Science")</f>
        <v>View Full Record in Web of Science</v>
      </c>
    </row>
    <row r="429" spans="1:72" x14ac:dyDescent="0.15">
      <c r="A429" t="s">
        <v>72</v>
      </c>
      <c r="B429" t="s">
        <v>6531</v>
      </c>
      <c r="C429" t="s">
        <v>74</v>
      </c>
      <c r="D429" t="s">
        <v>74</v>
      </c>
      <c r="E429" t="s">
        <v>74</v>
      </c>
      <c r="F429" t="s">
        <v>6531</v>
      </c>
      <c r="G429" t="s">
        <v>74</v>
      </c>
      <c r="H429" t="s">
        <v>74</v>
      </c>
      <c r="I429" t="s">
        <v>6532</v>
      </c>
      <c r="J429" t="s">
        <v>4854</v>
      </c>
      <c r="K429" t="s">
        <v>74</v>
      </c>
      <c r="L429" t="s">
        <v>74</v>
      </c>
      <c r="M429" t="s">
        <v>77</v>
      </c>
      <c r="N429" t="s">
        <v>78</v>
      </c>
      <c r="O429" t="s">
        <v>74</v>
      </c>
      <c r="P429" t="s">
        <v>74</v>
      </c>
      <c r="Q429" t="s">
        <v>74</v>
      </c>
      <c r="R429" t="s">
        <v>74</v>
      </c>
      <c r="S429" t="s">
        <v>74</v>
      </c>
      <c r="T429" t="s">
        <v>74</v>
      </c>
      <c r="U429" t="s">
        <v>6533</v>
      </c>
      <c r="V429" t="s">
        <v>6534</v>
      </c>
      <c r="W429" t="s">
        <v>6535</v>
      </c>
      <c r="X429" t="s">
        <v>6536</v>
      </c>
      <c r="Y429" t="s">
        <v>6537</v>
      </c>
      <c r="Z429" t="s">
        <v>6538</v>
      </c>
      <c r="AA429" t="s">
        <v>6539</v>
      </c>
      <c r="AB429" t="s">
        <v>6540</v>
      </c>
      <c r="AC429" t="s">
        <v>74</v>
      </c>
      <c r="AD429" t="s">
        <v>74</v>
      </c>
      <c r="AE429" t="s">
        <v>74</v>
      </c>
      <c r="AF429" t="s">
        <v>74</v>
      </c>
      <c r="AG429">
        <v>23</v>
      </c>
      <c r="AH429">
        <v>36</v>
      </c>
      <c r="AI429">
        <v>37</v>
      </c>
      <c r="AJ429">
        <v>0</v>
      </c>
      <c r="AK429">
        <v>7</v>
      </c>
      <c r="AL429" t="s">
        <v>902</v>
      </c>
      <c r="AM429" t="s">
        <v>903</v>
      </c>
      <c r="AN429" t="s">
        <v>922</v>
      </c>
      <c r="AO429" t="s">
        <v>4863</v>
      </c>
      <c r="AP429" t="s">
        <v>6346</v>
      </c>
      <c r="AQ429" t="s">
        <v>74</v>
      </c>
      <c r="AR429" t="s">
        <v>4864</v>
      </c>
      <c r="AS429" t="s">
        <v>4865</v>
      </c>
      <c r="AT429" t="s">
        <v>5640</v>
      </c>
      <c r="AU429">
        <v>2005</v>
      </c>
      <c r="AV429">
        <v>62</v>
      </c>
      <c r="AW429">
        <v>3</v>
      </c>
      <c r="AX429" t="s">
        <v>74</v>
      </c>
      <c r="AY429" t="s">
        <v>74</v>
      </c>
      <c r="AZ429" t="s">
        <v>74</v>
      </c>
      <c r="BA429" t="s">
        <v>74</v>
      </c>
      <c r="BB429">
        <v>860</v>
      </c>
      <c r="BC429">
        <v>870</v>
      </c>
      <c r="BD429" t="s">
        <v>74</v>
      </c>
      <c r="BE429" t="s">
        <v>6541</v>
      </c>
      <c r="BF429" t="str">
        <f>HYPERLINK("http://dx.doi.org/10.1175/JAS-3330.1","http://dx.doi.org/10.1175/JAS-3330.1")</f>
        <v>http://dx.doi.org/10.1175/JAS-3330.1</v>
      </c>
      <c r="BG429" t="s">
        <v>74</v>
      </c>
      <c r="BH429" t="s">
        <v>74</v>
      </c>
      <c r="BI429">
        <v>11</v>
      </c>
      <c r="BJ429" t="s">
        <v>401</v>
      </c>
      <c r="BK429" t="s">
        <v>95</v>
      </c>
      <c r="BL429" t="s">
        <v>401</v>
      </c>
      <c r="BM429" t="s">
        <v>6339</v>
      </c>
      <c r="BN429" t="s">
        <v>74</v>
      </c>
      <c r="BO429" t="s">
        <v>613</v>
      </c>
      <c r="BP429" t="s">
        <v>74</v>
      </c>
      <c r="BQ429" t="s">
        <v>74</v>
      </c>
      <c r="BR429" t="s">
        <v>97</v>
      </c>
      <c r="BS429" t="s">
        <v>6542</v>
      </c>
      <c r="BT429" t="str">
        <f>HYPERLINK("https%3A%2F%2Fwww.webofscience.com%2Fwos%2Fwoscc%2Ffull-record%2FWOS:000228012100025","View Full Record in Web of Science")</f>
        <v>View Full Record in Web of Science</v>
      </c>
    </row>
    <row r="430" spans="1:72" x14ac:dyDescent="0.15">
      <c r="A430" t="s">
        <v>72</v>
      </c>
      <c r="B430" t="s">
        <v>6543</v>
      </c>
      <c r="C430" t="s">
        <v>74</v>
      </c>
      <c r="D430" t="s">
        <v>74</v>
      </c>
      <c r="E430" t="s">
        <v>74</v>
      </c>
      <c r="F430" t="s">
        <v>6543</v>
      </c>
      <c r="G430" t="s">
        <v>74</v>
      </c>
      <c r="H430" t="s">
        <v>74</v>
      </c>
      <c r="I430" t="s">
        <v>6544</v>
      </c>
      <c r="J430" t="s">
        <v>4854</v>
      </c>
      <c r="K430" t="s">
        <v>74</v>
      </c>
      <c r="L430" t="s">
        <v>74</v>
      </c>
      <c r="M430" t="s">
        <v>77</v>
      </c>
      <c r="N430" t="s">
        <v>78</v>
      </c>
      <c r="O430" t="s">
        <v>74</v>
      </c>
      <c r="P430" t="s">
        <v>74</v>
      </c>
      <c r="Q430" t="s">
        <v>74</v>
      </c>
      <c r="R430" t="s">
        <v>74</v>
      </c>
      <c r="S430" t="s">
        <v>74</v>
      </c>
      <c r="T430" t="s">
        <v>74</v>
      </c>
      <c r="U430" t="s">
        <v>6545</v>
      </c>
      <c r="V430" t="s">
        <v>6546</v>
      </c>
      <c r="W430" t="s">
        <v>6547</v>
      </c>
      <c r="X430" t="s">
        <v>6548</v>
      </c>
      <c r="Y430" t="s">
        <v>6549</v>
      </c>
      <c r="Z430" t="s">
        <v>6550</v>
      </c>
      <c r="AA430" t="s">
        <v>6551</v>
      </c>
      <c r="AB430" t="s">
        <v>6552</v>
      </c>
      <c r="AC430" t="s">
        <v>74</v>
      </c>
      <c r="AD430" t="s">
        <v>74</v>
      </c>
      <c r="AE430" t="s">
        <v>74</v>
      </c>
      <c r="AF430" t="s">
        <v>74</v>
      </c>
      <c r="AG430">
        <v>28</v>
      </c>
      <c r="AH430">
        <v>17</v>
      </c>
      <c r="AI430">
        <v>18</v>
      </c>
      <c r="AJ430">
        <v>0</v>
      </c>
      <c r="AK430">
        <v>1</v>
      </c>
      <c r="AL430" t="s">
        <v>902</v>
      </c>
      <c r="AM430" t="s">
        <v>903</v>
      </c>
      <c r="AN430" t="s">
        <v>904</v>
      </c>
      <c r="AO430" t="s">
        <v>4863</v>
      </c>
      <c r="AP430" t="s">
        <v>6346</v>
      </c>
      <c r="AQ430" t="s">
        <v>74</v>
      </c>
      <c r="AR430" t="s">
        <v>4864</v>
      </c>
      <c r="AS430" t="s">
        <v>4865</v>
      </c>
      <c r="AT430" t="s">
        <v>5640</v>
      </c>
      <c r="AU430">
        <v>2005</v>
      </c>
      <c r="AV430">
        <v>62</v>
      </c>
      <c r="AW430">
        <v>3</v>
      </c>
      <c r="AX430" t="s">
        <v>74</v>
      </c>
      <c r="AY430" t="s">
        <v>74</v>
      </c>
      <c r="AZ430" t="s">
        <v>74</v>
      </c>
      <c r="BA430" t="s">
        <v>74</v>
      </c>
      <c r="BB430">
        <v>871</v>
      </c>
      <c r="BC430">
        <v>884</v>
      </c>
      <c r="BD430" t="s">
        <v>74</v>
      </c>
      <c r="BE430" t="s">
        <v>6553</v>
      </c>
      <c r="BF430" t="str">
        <f>HYPERLINK("http://dx.doi.org/10.1175/JAS-3326.1","http://dx.doi.org/10.1175/JAS-3326.1")</f>
        <v>http://dx.doi.org/10.1175/JAS-3326.1</v>
      </c>
      <c r="BG430" t="s">
        <v>74</v>
      </c>
      <c r="BH430" t="s">
        <v>74</v>
      </c>
      <c r="BI430">
        <v>14</v>
      </c>
      <c r="BJ430" t="s">
        <v>401</v>
      </c>
      <c r="BK430" t="s">
        <v>95</v>
      </c>
      <c r="BL430" t="s">
        <v>401</v>
      </c>
      <c r="BM430" t="s">
        <v>6339</v>
      </c>
      <c r="BN430" t="s">
        <v>74</v>
      </c>
      <c r="BO430" t="s">
        <v>6554</v>
      </c>
      <c r="BP430" t="s">
        <v>74</v>
      </c>
      <c r="BQ430" t="s">
        <v>74</v>
      </c>
      <c r="BR430" t="s">
        <v>97</v>
      </c>
      <c r="BS430" t="s">
        <v>6555</v>
      </c>
      <c r="BT430" t="str">
        <f>HYPERLINK("https%3A%2F%2Fwww.webofscience.com%2Fwos%2Fwoscc%2Ffull-record%2FWOS:000228012100026","View Full Record in Web of Science")</f>
        <v>View Full Record in Web of Science</v>
      </c>
    </row>
    <row r="431" spans="1:72" x14ac:dyDescent="0.15">
      <c r="A431" t="s">
        <v>72</v>
      </c>
      <c r="B431" t="s">
        <v>6556</v>
      </c>
      <c r="C431" t="s">
        <v>74</v>
      </c>
      <c r="D431" t="s">
        <v>74</v>
      </c>
      <c r="E431" t="s">
        <v>74</v>
      </c>
      <c r="F431" t="s">
        <v>6556</v>
      </c>
      <c r="G431" t="s">
        <v>74</v>
      </c>
      <c r="H431" t="s">
        <v>74</v>
      </c>
      <c r="I431" t="s">
        <v>6557</v>
      </c>
      <c r="J431" t="s">
        <v>4854</v>
      </c>
      <c r="K431" t="s">
        <v>74</v>
      </c>
      <c r="L431" t="s">
        <v>74</v>
      </c>
      <c r="M431" t="s">
        <v>77</v>
      </c>
      <c r="N431" t="s">
        <v>78</v>
      </c>
      <c r="O431" t="s">
        <v>74</v>
      </c>
      <c r="P431" t="s">
        <v>74</v>
      </c>
      <c r="Q431" t="s">
        <v>74</v>
      </c>
      <c r="R431" t="s">
        <v>74</v>
      </c>
      <c r="S431" t="s">
        <v>74</v>
      </c>
      <c r="T431" t="s">
        <v>74</v>
      </c>
      <c r="U431" t="s">
        <v>74</v>
      </c>
      <c r="V431" t="s">
        <v>6558</v>
      </c>
      <c r="W431" t="s">
        <v>6559</v>
      </c>
      <c r="X431" t="s">
        <v>6560</v>
      </c>
      <c r="Y431" t="s">
        <v>6561</v>
      </c>
      <c r="Z431" t="s">
        <v>6562</v>
      </c>
      <c r="AA431" t="s">
        <v>74</v>
      </c>
      <c r="AB431" t="s">
        <v>74</v>
      </c>
      <c r="AC431" t="s">
        <v>74</v>
      </c>
      <c r="AD431" t="s">
        <v>74</v>
      </c>
      <c r="AE431" t="s">
        <v>74</v>
      </c>
      <c r="AF431" t="s">
        <v>74</v>
      </c>
      <c r="AG431">
        <v>12</v>
      </c>
      <c r="AH431">
        <v>9</v>
      </c>
      <c r="AI431">
        <v>9</v>
      </c>
      <c r="AJ431">
        <v>0</v>
      </c>
      <c r="AK431">
        <v>3</v>
      </c>
      <c r="AL431" t="s">
        <v>902</v>
      </c>
      <c r="AM431" t="s">
        <v>903</v>
      </c>
      <c r="AN431" t="s">
        <v>922</v>
      </c>
      <c r="AO431" t="s">
        <v>4863</v>
      </c>
      <c r="AP431" t="s">
        <v>74</v>
      </c>
      <c r="AQ431" t="s">
        <v>74</v>
      </c>
      <c r="AR431" t="s">
        <v>4864</v>
      </c>
      <c r="AS431" t="s">
        <v>4865</v>
      </c>
      <c r="AT431" t="s">
        <v>5640</v>
      </c>
      <c r="AU431">
        <v>2005</v>
      </c>
      <c r="AV431">
        <v>62</v>
      </c>
      <c r="AW431">
        <v>3</v>
      </c>
      <c r="AX431" t="s">
        <v>74</v>
      </c>
      <c r="AY431" t="s">
        <v>74</v>
      </c>
      <c r="AZ431" t="s">
        <v>74</v>
      </c>
      <c r="BA431" t="s">
        <v>74</v>
      </c>
      <c r="BB431">
        <v>885</v>
      </c>
      <c r="BC431">
        <v>889</v>
      </c>
      <c r="BD431" t="s">
        <v>74</v>
      </c>
      <c r="BE431" t="s">
        <v>6563</v>
      </c>
      <c r="BF431" t="str">
        <f>HYPERLINK("http://dx.doi.org/10.1175/JAS-3317.1","http://dx.doi.org/10.1175/JAS-3317.1")</f>
        <v>http://dx.doi.org/10.1175/JAS-3317.1</v>
      </c>
      <c r="BG431" t="s">
        <v>74</v>
      </c>
      <c r="BH431" t="s">
        <v>74</v>
      </c>
      <c r="BI431">
        <v>5</v>
      </c>
      <c r="BJ431" t="s">
        <v>401</v>
      </c>
      <c r="BK431" t="s">
        <v>95</v>
      </c>
      <c r="BL431" t="s">
        <v>401</v>
      </c>
      <c r="BM431" t="s">
        <v>6339</v>
      </c>
      <c r="BN431" t="s">
        <v>74</v>
      </c>
      <c r="BO431" t="s">
        <v>1776</v>
      </c>
      <c r="BP431" t="s">
        <v>74</v>
      </c>
      <c r="BQ431" t="s">
        <v>74</v>
      </c>
      <c r="BR431" t="s">
        <v>97</v>
      </c>
      <c r="BS431" t="s">
        <v>6564</v>
      </c>
      <c r="BT431" t="str">
        <f>HYPERLINK("https%3A%2F%2Fwww.webofscience.com%2Fwos%2Fwoscc%2Ffull-record%2FWOS:000228012100027","View Full Record in Web of Science")</f>
        <v>View Full Record in Web of Science</v>
      </c>
    </row>
    <row r="432" spans="1:72" x14ac:dyDescent="0.15">
      <c r="A432" t="s">
        <v>72</v>
      </c>
      <c r="B432" t="s">
        <v>6565</v>
      </c>
      <c r="C432" t="s">
        <v>74</v>
      </c>
      <c r="D432" t="s">
        <v>74</v>
      </c>
      <c r="E432" t="s">
        <v>74</v>
      </c>
      <c r="F432" t="s">
        <v>6565</v>
      </c>
      <c r="G432" t="s">
        <v>74</v>
      </c>
      <c r="H432" t="s">
        <v>74</v>
      </c>
      <c r="I432" t="s">
        <v>6566</v>
      </c>
      <c r="J432" t="s">
        <v>6567</v>
      </c>
      <c r="K432" t="s">
        <v>74</v>
      </c>
      <c r="L432" t="s">
        <v>74</v>
      </c>
      <c r="M432" t="s">
        <v>77</v>
      </c>
      <c r="N432" t="s">
        <v>78</v>
      </c>
      <c r="O432" t="s">
        <v>74</v>
      </c>
      <c r="P432" t="s">
        <v>74</v>
      </c>
      <c r="Q432" t="s">
        <v>74</v>
      </c>
      <c r="R432" t="s">
        <v>74</v>
      </c>
      <c r="S432" t="s">
        <v>74</v>
      </c>
      <c r="T432" t="s">
        <v>6568</v>
      </c>
      <c r="U432" t="s">
        <v>6569</v>
      </c>
      <c r="V432" t="s">
        <v>6570</v>
      </c>
      <c r="W432" t="s">
        <v>6571</v>
      </c>
      <c r="X432" t="s">
        <v>6572</v>
      </c>
      <c r="Y432" t="s">
        <v>6573</v>
      </c>
      <c r="Z432" t="s">
        <v>74</v>
      </c>
      <c r="AA432" t="s">
        <v>6574</v>
      </c>
      <c r="AB432" t="s">
        <v>6575</v>
      </c>
      <c r="AC432" t="s">
        <v>74</v>
      </c>
      <c r="AD432" t="s">
        <v>74</v>
      </c>
      <c r="AE432" t="s">
        <v>74</v>
      </c>
      <c r="AF432" t="s">
        <v>74</v>
      </c>
      <c r="AG432">
        <v>92</v>
      </c>
      <c r="AH432">
        <v>30</v>
      </c>
      <c r="AI432">
        <v>35</v>
      </c>
      <c r="AJ432">
        <v>0</v>
      </c>
      <c r="AK432">
        <v>5</v>
      </c>
      <c r="AL432" t="s">
        <v>394</v>
      </c>
      <c r="AM432" t="s">
        <v>395</v>
      </c>
      <c r="AN432" t="s">
        <v>396</v>
      </c>
      <c r="AO432" t="s">
        <v>6576</v>
      </c>
      <c r="AP432" t="s">
        <v>6577</v>
      </c>
      <c r="AQ432" t="s">
        <v>74</v>
      </c>
      <c r="AR432" t="s">
        <v>6578</v>
      </c>
      <c r="AS432" t="s">
        <v>6579</v>
      </c>
      <c r="AT432" t="s">
        <v>6580</v>
      </c>
      <c r="AU432">
        <v>2005</v>
      </c>
      <c r="AV432">
        <v>35</v>
      </c>
      <c r="AW432" t="s">
        <v>442</v>
      </c>
      <c r="AX432" t="s">
        <v>74</v>
      </c>
      <c r="AY432" t="s">
        <v>74</v>
      </c>
      <c r="AZ432" t="s">
        <v>74</v>
      </c>
      <c r="BA432" t="s">
        <v>74</v>
      </c>
      <c r="BB432">
        <v>151</v>
      </c>
      <c r="BC432">
        <v>196</v>
      </c>
      <c r="BD432" t="s">
        <v>74</v>
      </c>
      <c r="BE432" t="s">
        <v>6581</v>
      </c>
      <c r="BF432" t="str">
        <f>HYPERLINK("http://dx.doi.org/10.1080/03014223.2005.9517780","http://dx.doi.org/10.1080/03014223.2005.9517780")</f>
        <v>http://dx.doi.org/10.1080/03014223.2005.9517780</v>
      </c>
      <c r="BG432" t="s">
        <v>74</v>
      </c>
      <c r="BH432" t="s">
        <v>74</v>
      </c>
      <c r="BI432">
        <v>46</v>
      </c>
      <c r="BJ432" t="s">
        <v>682</v>
      </c>
      <c r="BK432" t="s">
        <v>95</v>
      </c>
      <c r="BL432" t="s">
        <v>683</v>
      </c>
      <c r="BM432" t="s">
        <v>6582</v>
      </c>
      <c r="BN432" t="s">
        <v>74</v>
      </c>
      <c r="BO432" t="s">
        <v>855</v>
      </c>
      <c r="BP432" t="s">
        <v>74</v>
      </c>
      <c r="BQ432" t="s">
        <v>74</v>
      </c>
      <c r="BR432" t="s">
        <v>97</v>
      </c>
      <c r="BS432" t="s">
        <v>6583</v>
      </c>
      <c r="BT432" t="str">
        <f>HYPERLINK("https%3A%2F%2Fwww.webofscience.com%2Fwos%2Fwoscc%2Ffull-record%2FWOS:000231988300006","View Full Record in Web of Science")</f>
        <v>View Full Record in Web of Science</v>
      </c>
    </row>
    <row r="433" spans="1:72" x14ac:dyDescent="0.15">
      <c r="A433" t="s">
        <v>72</v>
      </c>
      <c r="B433" t="s">
        <v>6584</v>
      </c>
      <c r="C433" t="s">
        <v>74</v>
      </c>
      <c r="D433" t="s">
        <v>74</v>
      </c>
      <c r="E433" t="s">
        <v>74</v>
      </c>
      <c r="F433" t="s">
        <v>6584</v>
      </c>
      <c r="G433" t="s">
        <v>74</v>
      </c>
      <c r="H433" t="s">
        <v>74</v>
      </c>
      <c r="I433" t="s">
        <v>6585</v>
      </c>
      <c r="J433" t="s">
        <v>3678</v>
      </c>
      <c r="K433" t="s">
        <v>74</v>
      </c>
      <c r="L433" t="s">
        <v>74</v>
      </c>
      <c r="M433" t="s">
        <v>77</v>
      </c>
      <c r="N433" t="s">
        <v>78</v>
      </c>
      <c r="O433" t="s">
        <v>74</v>
      </c>
      <c r="P433" t="s">
        <v>74</v>
      </c>
      <c r="Q433" t="s">
        <v>74</v>
      </c>
      <c r="R433" t="s">
        <v>74</v>
      </c>
      <c r="S433" t="s">
        <v>74</v>
      </c>
      <c r="T433" t="s">
        <v>74</v>
      </c>
      <c r="U433" t="s">
        <v>6586</v>
      </c>
      <c r="V433" t="s">
        <v>6587</v>
      </c>
      <c r="W433" t="s">
        <v>6588</v>
      </c>
      <c r="X433" t="s">
        <v>671</v>
      </c>
      <c r="Y433" t="s">
        <v>6589</v>
      </c>
      <c r="Z433" t="s">
        <v>74</v>
      </c>
      <c r="AA433" t="s">
        <v>6590</v>
      </c>
      <c r="AB433" t="s">
        <v>74</v>
      </c>
      <c r="AC433" t="s">
        <v>74</v>
      </c>
      <c r="AD433" t="s">
        <v>74</v>
      </c>
      <c r="AE433" t="s">
        <v>74</v>
      </c>
      <c r="AF433" t="s">
        <v>74</v>
      </c>
      <c r="AG433">
        <v>20</v>
      </c>
      <c r="AH433">
        <v>25</v>
      </c>
      <c r="AI433">
        <v>27</v>
      </c>
      <c r="AJ433">
        <v>0</v>
      </c>
      <c r="AK433">
        <v>11</v>
      </c>
      <c r="AL433" t="s">
        <v>6591</v>
      </c>
      <c r="AM433" t="s">
        <v>6592</v>
      </c>
      <c r="AN433" t="s">
        <v>6593</v>
      </c>
      <c r="AO433" t="s">
        <v>3683</v>
      </c>
      <c r="AP433" t="s">
        <v>74</v>
      </c>
      <c r="AQ433" t="s">
        <v>74</v>
      </c>
      <c r="AR433" t="s">
        <v>3685</v>
      </c>
      <c r="AS433" t="s">
        <v>3686</v>
      </c>
      <c r="AT433" t="s">
        <v>5640</v>
      </c>
      <c r="AU433">
        <v>2005</v>
      </c>
      <c r="AV433">
        <v>50</v>
      </c>
      <c r="AW433">
        <v>2</v>
      </c>
      <c r="AX433" t="s">
        <v>74</v>
      </c>
      <c r="AY433" t="s">
        <v>74</v>
      </c>
      <c r="AZ433" t="s">
        <v>74</v>
      </c>
      <c r="BA433" t="s">
        <v>74</v>
      </c>
      <c r="BB433">
        <v>732</v>
      </c>
      <c r="BC433">
        <v>736</v>
      </c>
      <c r="BD433" t="s">
        <v>74</v>
      </c>
      <c r="BE433" t="s">
        <v>6594</v>
      </c>
      <c r="BF433" t="str">
        <f>HYPERLINK("http://dx.doi.org/10.4319/lo.2005.50.2.0732","http://dx.doi.org/10.4319/lo.2005.50.2.0732")</f>
        <v>http://dx.doi.org/10.4319/lo.2005.50.2.0732</v>
      </c>
      <c r="BG433" t="s">
        <v>74</v>
      </c>
      <c r="BH433" t="s">
        <v>74</v>
      </c>
      <c r="BI433">
        <v>5</v>
      </c>
      <c r="BJ433" t="s">
        <v>3688</v>
      </c>
      <c r="BK433" t="s">
        <v>95</v>
      </c>
      <c r="BL433" t="s">
        <v>3689</v>
      </c>
      <c r="BM433" t="s">
        <v>6595</v>
      </c>
      <c r="BN433" t="s">
        <v>74</v>
      </c>
      <c r="BO433" t="s">
        <v>539</v>
      </c>
      <c r="BP433" t="s">
        <v>74</v>
      </c>
      <c r="BQ433" t="s">
        <v>74</v>
      </c>
      <c r="BR433" t="s">
        <v>97</v>
      </c>
      <c r="BS433" t="s">
        <v>6596</v>
      </c>
      <c r="BT433" t="str">
        <f>HYPERLINK("https%3A%2F%2Fwww.webofscience.com%2Fwos%2Fwoscc%2Ffull-record%2FWOS:000227835200034","View Full Record in Web of Science")</f>
        <v>View Full Record in Web of Science</v>
      </c>
    </row>
    <row r="434" spans="1:72" x14ac:dyDescent="0.15">
      <c r="A434" t="s">
        <v>72</v>
      </c>
      <c r="B434" t="s">
        <v>6597</v>
      </c>
      <c r="C434" t="s">
        <v>74</v>
      </c>
      <c r="D434" t="s">
        <v>74</v>
      </c>
      <c r="E434" t="s">
        <v>74</v>
      </c>
      <c r="F434" t="s">
        <v>6597</v>
      </c>
      <c r="G434" t="s">
        <v>74</v>
      </c>
      <c r="H434" t="s">
        <v>74</v>
      </c>
      <c r="I434" t="s">
        <v>6598</v>
      </c>
      <c r="J434" t="s">
        <v>1999</v>
      </c>
      <c r="K434" t="s">
        <v>74</v>
      </c>
      <c r="L434" t="s">
        <v>74</v>
      </c>
      <c r="M434" t="s">
        <v>77</v>
      </c>
      <c r="N434" t="s">
        <v>78</v>
      </c>
      <c r="O434" t="s">
        <v>74</v>
      </c>
      <c r="P434" t="s">
        <v>74</v>
      </c>
      <c r="Q434" t="s">
        <v>74</v>
      </c>
      <c r="R434" t="s">
        <v>74</v>
      </c>
      <c r="S434" t="s">
        <v>74</v>
      </c>
      <c r="T434" t="s">
        <v>74</v>
      </c>
      <c r="U434" t="s">
        <v>6599</v>
      </c>
      <c r="V434" t="s">
        <v>6600</v>
      </c>
      <c r="W434" t="s">
        <v>6601</v>
      </c>
      <c r="X434" t="s">
        <v>6602</v>
      </c>
      <c r="Y434" t="s">
        <v>230</v>
      </c>
      <c r="Z434" t="s">
        <v>6603</v>
      </c>
      <c r="AA434" t="s">
        <v>6604</v>
      </c>
      <c r="AB434" t="s">
        <v>6605</v>
      </c>
      <c r="AC434" t="s">
        <v>74</v>
      </c>
      <c r="AD434" t="s">
        <v>74</v>
      </c>
      <c r="AE434" t="s">
        <v>74</v>
      </c>
      <c r="AF434" t="s">
        <v>74</v>
      </c>
      <c r="AG434">
        <v>74</v>
      </c>
      <c r="AH434">
        <v>36</v>
      </c>
      <c r="AI434">
        <v>41</v>
      </c>
      <c r="AJ434">
        <v>0</v>
      </c>
      <c r="AK434">
        <v>22</v>
      </c>
      <c r="AL434" t="s">
        <v>1789</v>
      </c>
      <c r="AM434" t="s">
        <v>1790</v>
      </c>
      <c r="AN434" t="s">
        <v>1791</v>
      </c>
      <c r="AO434" t="s">
        <v>2007</v>
      </c>
      <c r="AP434" t="s">
        <v>2021</v>
      </c>
      <c r="AQ434" t="s">
        <v>74</v>
      </c>
      <c r="AR434" t="s">
        <v>2008</v>
      </c>
      <c r="AS434" t="s">
        <v>2009</v>
      </c>
      <c r="AT434" t="s">
        <v>5640</v>
      </c>
      <c r="AU434">
        <v>2005</v>
      </c>
      <c r="AV434">
        <v>146</v>
      </c>
      <c r="AW434">
        <v>4</v>
      </c>
      <c r="AX434" t="s">
        <v>74</v>
      </c>
      <c r="AY434" t="s">
        <v>74</v>
      </c>
      <c r="AZ434" t="s">
        <v>74</v>
      </c>
      <c r="BA434" t="s">
        <v>74</v>
      </c>
      <c r="BB434">
        <v>793</v>
      </c>
      <c r="BC434">
        <v>804</v>
      </c>
      <c r="BD434" t="s">
        <v>74</v>
      </c>
      <c r="BE434" t="s">
        <v>6606</v>
      </c>
      <c r="BF434" t="str">
        <f>HYPERLINK("http://dx.doi.org/10.1007/s00227-004-1479-3","http://dx.doi.org/10.1007/s00227-004-1479-3")</f>
        <v>http://dx.doi.org/10.1007/s00227-004-1479-3</v>
      </c>
      <c r="BG434" t="s">
        <v>74</v>
      </c>
      <c r="BH434" t="s">
        <v>74</v>
      </c>
      <c r="BI434">
        <v>12</v>
      </c>
      <c r="BJ434" t="s">
        <v>2011</v>
      </c>
      <c r="BK434" t="s">
        <v>95</v>
      </c>
      <c r="BL434" t="s">
        <v>2011</v>
      </c>
      <c r="BM434" t="s">
        <v>6607</v>
      </c>
      <c r="BN434" t="s">
        <v>74</v>
      </c>
      <c r="BO434" t="s">
        <v>74</v>
      </c>
      <c r="BP434" t="s">
        <v>74</v>
      </c>
      <c r="BQ434" t="s">
        <v>74</v>
      </c>
      <c r="BR434" t="s">
        <v>97</v>
      </c>
      <c r="BS434" t="s">
        <v>6608</v>
      </c>
      <c r="BT434" t="str">
        <f>HYPERLINK("https%3A%2F%2Fwww.webofscience.com%2Fwos%2Fwoscc%2Ffull-record%2FWOS:000227442300017","View Full Record in Web of Science")</f>
        <v>View Full Record in Web of Science</v>
      </c>
    </row>
    <row r="435" spans="1:72" x14ac:dyDescent="0.15">
      <c r="A435" t="s">
        <v>72</v>
      </c>
      <c r="B435" t="s">
        <v>6609</v>
      </c>
      <c r="C435" t="s">
        <v>74</v>
      </c>
      <c r="D435" t="s">
        <v>74</v>
      </c>
      <c r="E435" t="s">
        <v>74</v>
      </c>
      <c r="F435" t="s">
        <v>6609</v>
      </c>
      <c r="G435" t="s">
        <v>74</v>
      </c>
      <c r="H435" t="s">
        <v>74</v>
      </c>
      <c r="I435" t="s">
        <v>6610</v>
      </c>
      <c r="J435" t="s">
        <v>1999</v>
      </c>
      <c r="K435" t="s">
        <v>74</v>
      </c>
      <c r="L435" t="s">
        <v>74</v>
      </c>
      <c r="M435" t="s">
        <v>77</v>
      </c>
      <c r="N435" t="s">
        <v>78</v>
      </c>
      <c r="O435" t="s">
        <v>74</v>
      </c>
      <c r="P435" t="s">
        <v>74</v>
      </c>
      <c r="Q435" t="s">
        <v>74</v>
      </c>
      <c r="R435" t="s">
        <v>74</v>
      </c>
      <c r="S435" t="s">
        <v>74</v>
      </c>
      <c r="T435" t="s">
        <v>74</v>
      </c>
      <c r="U435" t="s">
        <v>6611</v>
      </c>
      <c r="V435" t="s">
        <v>6612</v>
      </c>
      <c r="W435" t="s">
        <v>670</v>
      </c>
      <c r="X435" t="s">
        <v>671</v>
      </c>
      <c r="Y435" t="s">
        <v>6613</v>
      </c>
      <c r="Z435" t="s">
        <v>6614</v>
      </c>
      <c r="AA435" t="s">
        <v>6615</v>
      </c>
      <c r="AB435" t="s">
        <v>74</v>
      </c>
      <c r="AC435" t="s">
        <v>74</v>
      </c>
      <c r="AD435" t="s">
        <v>74</v>
      </c>
      <c r="AE435" t="s">
        <v>74</v>
      </c>
      <c r="AF435" t="s">
        <v>74</v>
      </c>
      <c r="AG435">
        <v>63</v>
      </c>
      <c r="AH435">
        <v>263</v>
      </c>
      <c r="AI435">
        <v>298</v>
      </c>
      <c r="AJ435">
        <v>5</v>
      </c>
      <c r="AK435">
        <v>201</v>
      </c>
      <c r="AL435" t="s">
        <v>133</v>
      </c>
      <c r="AM435" t="s">
        <v>134</v>
      </c>
      <c r="AN435" t="s">
        <v>135</v>
      </c>
      <c r="AO435" t="s">
        <v>2007</v>
      </c>
      <c r="AP435" t="s">
        <v>74</v>
      </c>
      <c r="AQ435" t="s">
        <v>74</v>
      </c>
      <c r="AR435" t="s">
        <v>2008</v>
      </c>
      <c r="AS435" t="s">
        <v>2009</v>
      </c>
      <c r="AT435" t="s">
        <v>5640</v>
      </c>
      <c r="AU435">
        <v>2005</v>
      </c>
      <c r="AV435">
        <v>146</v>
      </c>
      <c r="AW435">
        <v>4</v>
      </c>
      <c r="AX435" t="s">
        <v>74</v>
      </c>
      <c r="AY435" t="s">
        <v>74</v>
      </c>
      <c r="AZ435" t="s">
        <v>74</v>
      </c>
      <c r="BA435" t="s">
        <v>74</v>
      </c>
      <c r="BB435">
        <v>815</v>
      </c>
      <c r="BC435">
        <v>825</v>
      </c>
      <c r="BD435" t="s">
        <v>74</v>
      </c>
      <c r="BE435" t="s">
        <v>6616</v>
      </c>
      <c r="BF435" t="str">
        <f>HYPERLINK("http://dx.doi.org/10.1007/s00227-004-1474-8","http://dx.doi.org/10.1007/s00227-004-1474-8")</f>
        <v>http://dx.doi.org/10.1007/s00227-004-1474-8</v>
      </c>
      <c r="BG435" t="s">
        <v>74</v>
      </c>
      <c r="BH435" t="s">
        <v>74</v>
      </c>
      <c r="BI435">
        <v>11</v>
      </c>
      <c r="BJ435" t="s">
        <v>2011</v>
      </c>
      <c r="BK435" t="s">
        <v>95</v>
      </c>
      <c r="BL435" t="s">
        <v>2011</v>
      </c>
      <c r="BM435" t="s">
        <v>6607</v>
      </c>
      <c r="BN435" t="s">
        <v>74</v>
      </c>
      <c r="BO435" t="s">
        <v>74</v>
      </c>
      <c r="BP435" t="s">
        <v>74</v>
      </c>
      <c r="BQ435" t="s">
        <v>74</v>
      </c>
      <c r="BR435" t="s">
        <v>97</v>
      </c>
      <c r="BS435" t="s">
        <v>6617</v>
      </c>
      <c r="BT435" t="str">
        <f>HYPERLINK("https%3A%2F%2Fwww.webofscience.com%2Fwos%2Fwoscc%2Ffull-record%2FWOS:000227442300019","View Full Record in Web of Science")</f>
        <v>View Full Record in Web of Science</v>
      </c>
    </row>
    <row r="436" spans="1:72" x14ac:dyDescent="0.15">
      <c r="A436" t="s">
        <v>72</v>
      </c>
      <c r="B436" t="s">
        <v>6618</v>
      </c>
      <c r="C436" t="s">
        <v>74</v>
      </c>
      <c r="D436" t="s">
        <v>74</v>
      </c>
      <c r="E436" t="s">
        <v>74</v>
      </c>
      <c r="F436" t="s">
        <v>6618</v>
      </c>
      <c r="G436" t="s">
        <v>74</v>
      </c>
      <c r="H436" t="s">
        <v>74</v>
      </c>
      <c r="I436" t="s">
        <v>6619</v>
      </c>
      <c r="J436" t="s">
        <v>6620</v>
      </c>
      <c r="K436" t="s">
        <v>74</v>
      </c>
      <c r="L436" t="s">
        <v>74</v>
      </c>
      <c r="M436" t="s">
        <v>77</v>
      </c>
      <c r="N436" t="s">
        <v>365</v>
      </c>
      <c r="O436" t="s">
        <v>74</v>
      </c>
      <c r="P436" t="s">
        <v>74</v>
      </c>
      <c r="Q436" t="s">
        <v>74</v>
      </c>
      <c r="R436" t="s">
        <v>74</v>
      </c>
      <c r="S436" t="s">
        <v>74</v>
      </c>
      <c r="T436" t="s">
        <v>6621</v>
      </c>
      <c r="U436" t="s">
        <v>6622</v>
      </c>
      <c r="V436" t="s">
        <v>6623</v>
      </c>
      <c r="W436" t="s">
        <v>6624</v>
      </c>
      <c r="X436" t="s">
        <v>6625</v>
      </c>
      <c r="Y436" t="s">
        <v>6626</v>
      </c>
      <c r="Z436" t="s">
        <v>6627</v>
      </c>
      <c r="AA436" t="s">
        <v>6628</v>
      </c>
      <c r="AB436" t="s">
        <v>6629</v>
      </c>
      <c r="AC436" t="s">
        <v>74</v>
      </c>
      <c r="AD436" t="s">
        <v>74</v>
      </c>
      <c r="AE436" t="s">
        <v>74</v>
      </c>
      <c r="AF436" t="s">
        <v>74</v>
      </c>
      <c r="AG436">
        <v>84</v>
      </c>
      <c r="AH436">
        <v>14</v>
      </c>
      <c r="AI436">
        <v>19</v>
      </c>
      <c r="AJ436">
        <v>0</v>
      </c>
      <c r="AK436">
        <v>9</v>
      </c>
      <c r="AL436" t="s">
        <v>472</v>
      </c>
      <c r="AM436" t="s">
        <v>473</v>
      </c>
      <c r="AN436" t="s">
        <v>474</v>
      </c>
      <c r="AO436" t="s">
        <v>6630</v>
      </c>
      <c r="AP436" t="s">
        <v>6631</v>
      </c>
      <c r="AQ436" t="s">
        <v>74</v>
      </c>
      <c r="AR436" t="s">
        <v>6632</v>
      </c>
      <c r="AS436" t="s">
        <v>6633</v>
      </c>
      <c r="AT436" t="s">
        <v>5640</v>
      </c>
      <c r="AU436">
        <v>2005</v>
      </c>
      <c r="AV436">
        <v>26</v>
      </c>
      <c r="AW436">
        <v>1</v>
      </c>
      <c r="AX436" t="s">
        <v>74</v>
      </c>
      <c r="AY436" t="s">
        <v>74</v>
      </c>
      <c r="AZ436" t="s">
        <v>74</v>
      </c>
      <c r="BA436" t="s">
        <v>74</v>
      </c>
      <c r="BB436">
        <v>3</v>
      </c>
      <c r="BC436">
        <v>16</v>
      </c>
      <c r="BD436" t="s">
        <v>74</v>
      </c>
      <c r="BE436" t="s">
        <v>6634</v>
      </c>
      <c r="BF436" t="str">
        <f>HYPERLINK("http://dx.doi.org/10.1111/j.1439-0485.2005.00041.x","http://dx.doi.org/10.1111/j.1439-0485.2005.00041.x")</f>
        <v>http://dx.doi.org/10.1111/j.1439-0485.2005.00041.x</v>
      </c>
      <c r="BG436" t="s">
        <v>74</v>
      </c>
      <c r="BH436" t="s">
        <v>74</v>
      </c>
      <c r="BI436">
        <v>14</v>
      </c>
      <c r="BJ436" t="s">
        <v>2011</v>
      </c>
      <c r="BK436" t="s">
        <v>95</v>
      </c>
      <c r="BL436" t="s">
        <v>2011</v>
      </c>
      <c r="BM436" t="s">
        <v>6635</v>
      </c>
      <c r="BN436" t="s">
        <v>74</v>
      </c>
      <c r="BO436" t="s">
        <v>74</v>
      </c>
      <c r="BP436" t="s">
        <v>74</v>
      </c>
      <c r="BQ436" t="s">
        <v>74</v>
      </c>
      <c r="BR436" t="s">
        <v>97</v>
      </c>
      <c r="BS436" t="s">
        <v>6636</v>
      </c>
      <c r="BT436" t="str">
        <f>HYPERLINK("https%3A%2F%2Fwww.webofscience.com%2Fwos%2Fwoscc%2Ffull-record%2FWOS:000231968200002","View Full Record in Web of Science")</f>
        <v>View Full Record in Web of Science</v>
      </c>
    </row>
    <row r="437" spans="1:72" x14ac:dyDescent="0.15">
      <c r="A437" t="s">
        <v>72</v>
      </c>
      <c r="B437" t="s">
        <v>6637</v>
      </c>
      <c r="C437" t="s">
        <v>74</v>
      </c>
      <c r="D437" t="s">
        <v>74</v>
      </c>
      <c r="E437" t="s">
        <v>74</v>
      </c>
      <c r="F437" t="s">
        <v>6637</v>
      </c>
      <c r="G437" t="s">
        <v>74</v>
      </c>
      <c r="H437" t="s">
        <v>74</v>
      </c>
      <c r="I437" t="s">
        <v>6638</v>
      </c>
      <c r="J437" t="s">
        <v>6639</v>
      </c>
      <c r="K437" t="s">
        <v>74</v>
      </c>
      <c r="L437" t="s">
        <v>74</v>
      </c>
      <c r="M437" t="s">
        <v>77</v>
      </c>
      <c r="N437" t="s">
        <v>78</v>
      </c>
      <c r="O437" t="s">
        <v>74</v>
      </c>
      <c r="P437" t="s">
        <v>74</v>
      </c>
      <c r="Q437" t="s">
        <v>74</v>
      </c>
      <c r="R437" t="s">
        <v>74</v>
      </c>
      <c r="S437" t="s">
        <v>74</v>
      </c>
      <c r="T437" t="s">
        <v>6640</v>
      </c>
      <c r="U437" t="s">
        <v>6641</v>
      </c>
      <c r="V437" t="s">
        <v>6642</v>
      </c>
      <c r="W437" t="s">
        <v>6643</v>
      </c>
      <c r="X437" t="s">
        <v>6644</v>
      </c>
      <c r="Y437" t="s">
        <v>6645</v>
      </c>
      <c r="Z437" t="s">
        <v>6646</v>
      </c>
      <c r="AA437" t="s">
        <v>6647</v>
      </c>
      <c r="AB437" t="s">
        <v>6648</v>
      </c>
      <c r="AC437" t="s">
        <v>74</v>
      </c>
      <c r="AD437" t="s">
        <v>74</v>
      </c>
      <c r="AE437" t="s">
        <v>74</v>
      </c>
      <c r="AF437" t="s">
        <v>74</v>
      </c>
      <c r="AG437">
        <v>26</v>
      </c>
      <c r="AH437">
        <v>26</v>
      </c>
      <c r="AI437">
        <v>27</v>
      </c>
      <c r="AJ437">
        <v>0</v>
      </c>
      <c r="AK437">
        <v>13</v>
      </c>
      <c r="AL437" t="s">
        <v>133</v>
      </c>
      <c r="AM437" t="s">
        <v>374</v>
      </c>
      <c r="AN437" t="s">
        <v>375</v>
      </c>
      <c r="AO437" t="s">
        <v>6649</v>
      </c>
      <c r="AP437" t="s">
        <v>6650</v>
      </c>
      <c r="AQ437" t="s">
        <v>74</v>
      </c>
      <c r="AR437" t="s">
        <v>6651</v>
      </c>
      <c r="AS437" t="s">
        <v>6652</v>
      </c>
      <c r="AT437" t="s">
        <v>5640</v>
      </c>
      <c r="AU437">
        <v>2005</v>
      </c>
      <c r="AV437">
        <v>26</v>
      </c>
      <c r="AW437">
        <v>1</v>
      </c>
      <c r="AX437" t="s">
        <v>74</v>
      </c>
      <c r="AY437" t="s">
        <v>74</v>
      </c>
      <c r="AZ437" t="s">
        <v>74</v>
      </c>
      <c r="BA437" t="s">
        <v>74</v>
      </c>
      <c r="BB437">
        <v>17</v>
      </c>
      <c r="BC437">
        <v>28</v>
      </c>
      <c r="BD437" t="s">
        <v>74</v>
      </c>
      <c r="BE437" t="s">
        <v>6653</v>
      </c>
      <c r="BF437" t="str">
        <f>HYPERLINK("http://dx.doi.org/10.1007/s11001-005-0147-4","http://dx.doi.org/10.1007/s11001-005-0147-4")</f>
        <v>http://dx.doi.org/10.1007/s11001-005-0147-4</v>
      </c>
      <c r="BG437" t="s">
        <v>74</v>
      </c>
      <c r="BH437" t="s">
        <v>74</v>
      </c>
      <c r="BI437">
        <v>12</v>
      </c>
      <c r="BJ437" t="s">
        <v>6654</v>
      </c>
      <c r="BK437" t="s">
        <v>95</v>
      </c>
      <c r="BL437" t="s">
        <v>6654</v>
      </c>
      <c r="BM437" t="s">
        <v>6655</v>
      </c>
      <c r="BN437" t="s">
        <v>74</v>
      </c>
      <c r="BO437" t="s">
        <v>74</v>
      </c>
      <c r="BP437" t="s">
        <v>74</v>
      </c>
      <c r="BQ437" t="s">
        <v>74</v>
      </c>
      <c r="BR437" t="s">
        <v>97</v>
      </c>
      <c r="BS437" t="s">
        <v>6656</v>
      </c>
      <c r="BT437" t="str">
        <f>HYPERLINK("https%3A%2F%2Fwww.webofscience.com%2Fwos%2Fwoscc%2Ffull-record%2FWOS:000233521100002","View Full Record in Web of Science")</f>
        <v>View Full Record in Web of Science</v>
      </c>
    </row>
    <row r="438" spans="1:72" x14ac:dyDescent="0.15">
      <c r="A438" t="s">
        <v>72</v>
      </c>
      <c r="B438" t="s">
        <v>6657</v>
      </c>
      <c r="C438" t="s">
        <v>74</v>
      </c>
      <c r="D438" t="s">
        <v>74</v>
      </c>
      <c r="E438" t="s">
        <v>74</v>
      </c>
      <c r="F438" t="s">
        <v>6657</v>
      </c>
      <c r="G438" t="s">
        <v>74</v>
      </c>
      <c r="H438" t="s">
        <v>74</v>
      </c>
      <c r="I438" t="s">
        <v>6658</v>
      </c>
      <c r="J438" t="s">
        <v>6659</v>
      </c>
      <c r="K438" t="s">
        <v>74</v>
      </c>
      <c r="L438" t="s">
        <v>74</v>
      </c>
      <c r="M438" t="s">
        <v>77</v>
      </c>
      <c r="N438" t="s">
        <v>78</v>
      </c>
      <c r="O438" t="s">
        <v>74</v>
      </c>
      <c r="P438" t="s">
        <v>74</v>
      </c>
      <c r="Q438" t="s">
        <v>74</v>
      </c>
      <c r="R438" t="s">
        <v>74</v>
      </c>
      <c r="S438" t="s">
        <v>74</v>
      </c>
      <c r="T438" t="s">
        <v>6660</v>
      </c>
      <c r="U438" t="s">
        <v>6661</v>
      </c>
      <c r="V438" t="s">
        <v>6662</v>
      </c>
      <c r="W438" t="s">
        <v>6663</v>
      </c>
      <c r="X438" t="s">
        <v>6664</v>
      </c>
      <c r="Y438" t="s">
        <v>6665</v>
      </c>
      <c r="Z438" t="s">
        <v>6666</v>
      </c>
      <c r="AA438" t="s">
        <v>74</v>
      </c>
      <c r="AB438" t="s">
        <v>74</v>
      </c>
      <c r="AC438" t="s">
        <v>74</v>
      </c>
      <c r="AD438" t="s">
        <v>74</v>
      </c>
      <c r="AE438" t="s">
        <v>74</v>
      </c>
      <c r="AF438" t="s">
        <v>74</v>
      </c>
      <c r="AG438">
        <v>88</v>
      </c>
      <c r="AH438">
        <v>17</v>
      </c>
      <c r="AI438">
        <v>18</v>
      </c>
      <c r="AJ438">
        <v>0</v>
      </c>
      <c r="AK438">
        <v>4</v>
      </c>
      <c r="AL438" t="s">
        <v>456</v>
      </c>
      <c r="AM438" t="s">
        <v>436</v>
      </c>
      <c r="AN438" t="s">
        <v>457</v>
      </c>
      <c r="AO438" t="s">
        <v>6667</v>
      </c>
      <c r="AP438" t="s">
        <v>74</v>
      </c>
      <c r="AQ438" t="s">
        <v>74</v>
      </c>
      <c r="AR438" t="s">
        <v>6668</v>
      </c>
      <c r="AS438" t="s">
        <v>6669</v>
      </c>
      <c r="AT438" t="s">
        <v>5640</v>
      </c>
      <c r="AU438">
        <v>2005</v>
      </c>
      <c r="AV438">
        <v>54</v>
      </c>
      <c r="AW438" t="s">
        <v>961</v>
      </c>
      <c r="AX438" t="s">
        <v>74</v>
      </c>
      <c r="AY438" t="s">
        <v>74</v>
      </c>
      <c r="AZ438" t="s">
        <v>74</v>
      </c>
      <c r="BA438" t="s">
        <v>74</v>
      </c>
      <c r="BB438">
        <v>213</v>
      </c>
      <c r="BC438" t="s">
        <v>6131</v>
      </c>
      <c r="BD438" t="s">
        <v>74</v>
      </c>
      <c r="BE438" t="s">
        <v>6670</v>
      </c>
      <c r="BF438" t="str">
        <f>HYPERLINK("http://dx.doi.org/10.1016/j.marmicro.2004.12.002","http://dx.doi.org/10.1016/j.marmicro.2004.12.002")</f>
        <v>http://dx.doi.org/10.1016/j.marmicro.2004.12.002</v>
      </c>
      <c r="BG438" t="s">
        <v>74</v>
      </c>
      <c r="BH438" t="s">
        <v>74</v>
      </c>
      <c r="BI438">
        <v>34</v>
      </c>
      <c r="BJ438" t="s">
        <v>420</v>
      </c>
      <c r="BK438" t="s">
        <v>95</v>
      </c>
      <c r="BL438" t="s">
        <v>420</v>
      </c>
      <c r="BM438" t="s">
        <v>6671</v>
      </c>
      <c r="BN438" t="s">
        <v>74</v>
      </c>
      <c r="BO438" t="s">
        <v>74</v>
      </c>
      <c r="BP438" t="s">
        <v>74</v>
      </c>
      <c r="BQ438" t="s">
        <v>74</v>
      </c>
      <c r="BR438" t="s">
        <v>97</v>
      </c>
      <c r="BS438" t="s">
        <v>6672</v>
      </c>
      <c r="BT438" t="str">
        <f>HYPERLINK("https%3A%2F%2Fwww.webofscience.com%2Fwos%2Fwoscc%2Ffull-record%2FWOS:000227530500005","View Full Record in Web of Science")</f>
        <v>View Full Record in Web of Science</v>
      </c>
    </row>
    <row r="439" spans="1:72" x14ac:dyDescent="0.15">
      <c r="A439" t="s">
        <v>72</v>
      </c>
      <c r="B439" t="s">
        <v>6673</v>
      </c>
      <c r="C439" t="s">
        <v>74</v>
      </c>
      <c r="D439" t="s">
        <v>74</v>
      </c>
      <c r="E439" t="s">
        <v>74</v>
      </c>
      <c r="F439" t="s">
        <v>6673</v>
      </c>
      <c r="G439" t="s">
        <v>74</v>
      </c>
      <c r="H439" t="s">
        <v>74</v>
      </c>
      <c r="I439" t="s">
        <v>6674</v>
      </c>
      <c r="J439" t="s">
        <v>6675</v>
      </c>
      <c r="K439" t="s">
        <v>74</v>
      </c>
      <c r="L439" t="s">
        <v>74</v>
      </c>
      <c r="M439" t="s">
        <v>77</v>
      </c>
      <c r="N439" t="s">
        <v>78</v>
      </c>
      <c r="O439" t="s">
        <v>74</v>
      </c>
      <c r="P439" t="s">
        <v>74</v>
      </c>
      <c r="Q439" t="s">
        <v>74</v>
      </c>
      <c r="R439" t="s">
        <v>74</v>
      </c>
      <c r="S439" t="s">
        <v>74</v>
      </c>
      <c r="T439" t="s">
        <v>6676</v>
      </c>
      <c r="U439" t="s">
        <v>6677</v>
      </c>
      <c r="V439" t="s">
        <v>6678</v>
      </c>
      <c r="W439" t="s">
        <v>6679</v>
      </c>
      <c r="X439" t="s">
        <v>3601</v>
      </c>
      <c r="Y439" t="s">
        <v>6680</v>
      </c>
      <c r="Z439" t="s">
        <v>3603</v>
      </c>
      <c r="AA439" t="s">
        <v>3919</v>
      </c>
      <c r="AB439" t="s">
        <v>6681</v>
      </c>
      <c r="AC439" t="s">
        <v>74</v>
      </c>
      <c r="AD439" t="s">
        <v>74</v>
      </c>
      <c r="AE439" t="s">
        <v>74</v>
      </c>
      <c r="AF439" t="s">
        <v>74</v>
      </c>
      <c r="AG439">
        <v>46</v>
      </c>
      <c r="AH439">
        <v>18</v>
      </c>
      <c r="AI439">
        <v>19</v>
      </c>
      <c r="AJ439">
        <v>0</v>
      </c>
      <c r="AK439">
        <v>18</v>
      </c>
      <c r="AL439" t="s">
        <v>255</v>
      </c>
      <c r="AM439" t="s">
        <v>256</v>
      </c>
      <c r="AN439" t="s">
        <v>257</v>
      </c>
      <c r="AO439" t="s">
        <v>6682</v>
      </c>
      <c r="AP439" t="s">
        <v>6683</v>
      </c>
      <c r="AQ439" t="s">
        <v>74</v>
      </c>
      <c r="AR439" t="s">
        <v>6684</v>
      </c>
      <c r="AS439" t="s">
        <v>6685</v>
      </c>
      <c r="AT439" t="s">
        <v>5640</v>
      </c>
      <c r="AU439">
        <v>2005</v>
      </c>
      <c r="AV439">
        <v>50</v>
      </c>
      <c r="AW439">
        <v>3</v>
      </c>
      <c r="AX439" t="s">
        <v>74</v>
      </c>
      <c r="AY439" t="s">
        <v>74</v>
      </c>
      <c r="AZ439" t="s">
        <v>74</v>
      </c>
      <c r="BA439" t="s">
        <v>74</v>
      </c>
      <c r="BB439">
        <v>264</v>
      </c>
      <c r="BC439">
        <v>275</v>
      </c>
      <c r="BD439" t="s">
        <v>74</v>
      </c>
      <c r="BE439" t="s">
        <v>6686</v>
      </c>
      <c r="BF439" t="str">
        <f>HYPERLINK("http://dx.doi.org/10.1016/j.marpolbul.2004.10.012","http://dx.doi.org/10.1016/j.marpolbul.2004.10.012")</f>
        <v>http://dx.doi.org/10.1016/j.marpolbul.2004.10.012</v>
      </c>
      <c r="BG439" t="s">
        <v>74</v>
      </c>
      <c r="BH439" t="s">
        <v>74</v>
      </c>
      <c r="BI439">
        <v>12</v>
      </c>
      <c r="BJ439" t="s">
        <v>4448</v>
      </c>
      <c r="BK439" t="s">
        <v>95</v>
      </c>
      <c r="BL439" t="s">
        <v>942</v>
      </c>
      <c r="BM439" t="s">
        <v>6687</v>
      </c>
      <c r="BN439">
        <v>15757690</v>
      </c>
      <c r="BO439" t="s">
        <v>74</v>
      </c>
      <c r="BP439" t="s">
        <v>74</v>
      </c>
      <c r="BQ439" t="s">
        <v>74</v>
      </c>
      <c r="BR439" t="s">
        <v>97</v>
      </c>
      <c r="BS439" t="s">
        <v>6688</v>
      </c>
      <c r="BT439" t="str">
        <f>HYPERLINK("https%3A%2F%2Fwww.webofscience.com%2Fwos%2Fwoscc%2Ffull-record%2FWOS:000227915000014","View Full Record in Web of Science")</f>
        <v>View Full Record in Web of Science</v>
      </c>
    </row>
    <row r="440" spans="1:72" x14ac:dyDescent="0.15">
      <c r="A440" t="s">
        <v>72</v>
      </c>
      <c r="B440" t="s">
        <v>6689</v>
      </c>
      <c r="C440" t="s">
        <v>74</v>
      </c>
      <c r="D440" t="s">
        <v>74</v>
      </c>
      <c r="E440" t="s">
        <v>74</v>
      </c>
      <c r="F440" t="s">
        <v>6689</v>
      </c>
      <c r="G440" t="s">
        <v>74</v>
      </c>
      <c r="H440" t="s">
        <v>74</v>
      </c>
      <c r="I440" t="s">
        <v>6690</v>
      </c>
      <c r="J440" t="s">
        <v>6675</v>
      </c>
      <c r="K440" t="s">
        <v>74</v>
      </c>
      <c r="L440" t="s">
        <v>74</v>
      </c>
      <c r="M440" t="s">
        <v>77</v>
      </c>
      <c r="N440" t="s">
        <v>78</v>
      </c>
      <c r="O440" t="s">
        <v>74</v>
      </c>
      <c r="P440" t="s">
        <v>74</v>
      </c>
      <c r="Q440" t="s">
        <v>74</v>
      </c>
      <c r="R440" t="s">
        <v>74</v>
      </c>
      <c r="S440" t="s">
        <v>74</v>
      </c>
      <c r="T440" t="s">
        <v>6691</v>
      </c>
      <c r="U440" t="s">
        <v>6692</v>
      </c>
      <c r="V440" t="s">
        <v>6693</v>
      </c>
      <c r="W440" t="s">
        <v>6694</v>
      </c>
      <c r="X440" t="s">
        <v>3601</v>
      </c>
      <c r="Y440" t="s">
        <v>580</v>
      </c>
      <c r="Z440" t="s">
        <v>6695</v>
      </c>
      <c r="AA440" t="s">
        <v>3919</v>
      </c>
      <c r="AB440" t="s">
        <v>6696</v>
      </c>
      <c r="AC440" t="s">
        <v>74</v>
      </c>
      <c r="AD440" t="s">
        <v>74</v>
      </c>
      <c r="AE440" t="s">
        <v>74</v>
      </c>
      <c r="AF440" t="s">
        <v>74</v>
      </c>
      <c r="AG440">
        <v>24</v>
      </c>
      <c r="AH440">
        <v>37</v>
      </c>
      <c r="AI440">
        <v>39</v>
      </c>
      <c r="AJ440">
        <v>0</v>
      </c>
      <c r="AK440">
        <v>13</v>
      </c>
      <c r="AL440" t="s">
        <v>255</v>
      </c>
      <c r="AM440" t="s">
        <v>256</v>
      </c>
      <c r="AN440" t="s">
        <v>257</v>
      </c>
      <c r="AO440" t="s">
        <v>6682</v>
      </c>
      <c r="AP440" t="s">
        <v>6683</v>
      </c>
      <c r="AQ440" t="s">
        <v>74</v>
      </c>
      <c r="AR440" t="s">
        <v>6684</v>
      </c>
      <c r="AS440" t="s">
        <v>6685</v>
      </c>
      <c r="AT440" t="s">
        <v>5640</v>
      </c>
      <c r="AU440">
        <v>2005</v>
      </c>
      <c r="AV440">
        <v>50</v>
      </c>
      <c r="AW440">
        <v>3</v>
      </c>
      <c r="AX440" t="s">
        <v>74</v>
      </c>
      <c r="AY440" t="s">
        <v>74</v>
      </c>
      <c r="AZ440" t="s">
        <v>74</v>
      </c>
      <c r="BA440" t="s">
        <v>74</v>
      </c>
      <c r="BB440">
        <v>276</v>
      </c>
      <c r="BC440">
        <v>290</v>
      </c>
      <c r="BD440" t="s">
        <v>74</v>
      </c>
      <c r="BE440" t="s">
        <v>6697</v>
      </c>
      <c r="BF440" t="str">
        <f>HYPERLINK("http://dx.doi.org/10.1016/j.marpolbul.2004.10.015","http://dx.doi.org/10.1016/j.marpolbul.2004.10.015")</f>
        <v>http://dx.doi.org/10.1016/j.marpolbul.2004.10.015</v>
      </c>
      <c r="BG440" t="s">
        <v>74</v>
      </c>
      <c r="BH440" t="s">
        <v>74</v>
      </c>
      <c r="BI440">
        <v>15</v>
      </c>
      <c r="BJ440" t="s">
        <v>4448</v>
      </c>
      <c r="BK440" t="s">
        <v>95</v>
      </c>
      <c r="BL440" t="s">
        <v>942</v>
      </c>
      <c r="BM440" t="s">
        <v>6687</v>
      </c>
      <c r="BN440">
        <v>15757691</v>
      </c>
      <c r="BO440" t="s">
        <v>74</v>
      </c>
      <c r="BP440" t="s">
        <v>74</v>
      </c>
      <c r="BQ440" t="s">
        <v>74</v>
      </c>
      <c r="BR440" t="s">
        <v>97</v>
      </c>
      <c r="BS440" t="s">
        <v>6698</v>
      </c>
      <c r="BT440" t="str">
        <f>HYPERLINK("https%3A%2F%2Fwww.webofscience.com%2Fwos%2Fwoscc%2Ffull-record%2FWOS:000227915000015","View Full Record in Web of Science")</f>
        <v>View Full Record in Web of Science</v>
      </c>
    </row>
    <row r="441" spans="1:72" x14ac:dyDescent="0.15">
      <c r="A441" t="s">
        <v>72</v>
      </c>
      <c r="B441" t="s">
        <v>6699</v>
      </c>
      <c r="C441" t="s">
        <v>74</v>
      </c>
      <c r="D441" t="s">
        <v>74</v>
      </c>
      <c r="E441" t="s">
        <v>74</v>
      </c>
      <c r="F441" t="s">
        <v>6699</v>
      </c>
      <c r="G441" t="s">
        <v>74</v>
      </c>
      <c r="H441" t="s">
        <v>74</v>
      </c>
      <c r="I441" t="s">
        <v>6700</v>
      </c>
      <c r="J441" t="s">
        <v>6701</v>
      </c>
      <c r="K441" t="s">
        <v>74</v>
      </c>
      <c r="L441" t="s">
        <v>74</v>
      </c>
      <c r="M441" t="s">
        <v>77</v>
      </c>
      <c r="N441" t="s">
        <v>78</v>
      </c>
      <c r="O441" t="s">
        <v>74</v>
      </c>
      <c r="P441" t="s">
        <v>74</v>
      </c>
      <c r="Q441" t="s">
        <v>74</v>
      </c>
      <c r="R441" t="s">
        <v>74</v>
      </c>
      <c r="S441" t="s">
        <v>74</v>
      </c>
      <c r="T441" t="s">
        <v>6702</v>
      </c>
      <c r="U441" t="s">
        <v>6703</v>
      </c>
      <c r="V441" t="s">
        <v>6704</v>
      </c>
      <c r="W441" t="s">
        <v>6705</v>
      </c>
      <c r="X441" t="s">
        <v>6706</v>
      </c>
      <c r="Y441" t="s">
        <v>6707</v>
      </c>
      <c r="Z441" t="s">
        <v>6708</v>
      </c>
      <c r="AA441" t="s">
        <v>6709</v>
      </c>
      <c r="AB441" t="s">
        <v>6710</v>
      </c>
      <c r="AC441" t="s">
        <v>74</v>
      </c>
      <c r="AD441" t="s">
        <v>74</v>
      </c>
      <c r="AE441" t="s">
        <v>74</v>
      </c>
      <c r="AF441" t="s">
        <v>74</v>
      </c>
      <c r="AG441">
        <v>9</v>
      </c>
      <c r="AH441">
        <v>15</v>
      </c>
      <c r="AI441">
        <v>19</v>
      </c>
      <c r="AJ441">
        <v>0</v>
      </c>
      <c r="AK441">
        <v>3</v>
      </c>
      <c r="AL441" t="s">
        <v>472</v>
      </c>
      <c r="AM441" t="s">
        <v>473</v>
      </c>
      <c r="AN441" t="s">
        <v>474</v>
      </c>
      <c r="AO441" t="s">
        <v>6711</v>
      </c>
      <c r="AP441" t="s">
        <v>74</v>
      </c>
      <c r="AQ441" t="s">
        <v>74</v>
      </c>
      <c r="AR441" t="s">
        <v>6712</v>
      </c>
      <c r="AS441" t="s">
        <v>6713</v>
      </c>
      <c r="AT441" t="s">
        <v>5640</v>
      </c>
      <c r="AU441">
        <v>2005</v>
      </c>
      <c r="AV441">
        <v>5</v>
      </c>
      <c r="AW441">
        <v>1</v>
      </c>
      <c r="AX441" t="s">
        <v>74</v>
      </c>
      <c r="AY441" t="s">
        <v>74</v>
      </c>
      <c r="AZ441" t="s">
        <v>74</v>
      </c>
      <c r="BA441" t="s">
        <v>74</v>
      </c>
      <c r="BB441">
        <v>62</v>
      </c>
      <c r="BC441">
        <v>64</v>
      </c>
      <c r="BD441" t="s">
        <v>74</v>
      </c>
      <c r="BE441" t="s">
        <v>6714</v>
      </c>
      <c r="BF441" t="str">
        <f>HYPERLINK("http://dx.doi.org/10.1111/j.1471-8286.2004.00834.x","http://dx.doi.org/10.1111/j.1471-8286.2004.00834.x")</f>
        <v>http://dx.doi.org/10.1111/j.1471-8286.2004.00834.x</v>
      </c>
      <c r="BG441" t="s">
        <v>74</v>
      </c>
      <c r="BH441" t="s">
        <v>74</v>
      </c>
      <c r="BI441">
        <v>3</v>
      </c>
      <c r="BJ441" t="s">
        <v>3803</v>
      </c>
      <c r="BK441" t="s">
        <v>95</v>
      </c>
      <c r="BL441" t="s">
        <v>3804</v>
      </c>
      <c r="BM441" t="s">
        <v>6715</v>
      </c>
      <c r="BN441" t="s">
        <v>74</v>
      </c>
      <c r="BO441" t="s">
        <v>74</v>
      </c>
      <c r="BP441" t="s">
        <v>74</v>
      </c>
      <c r="BQ441" t="s">
        <v>74</v>
      </c>
      <c r="BR441" t="s">
        <v>97</v>
      </c>
      <c r="BS441" t="s">
        <v>6716</v>
      </c>
      <c r="BT441" t="str">
        <f>HYPERLINK("https%3A%2F%2Fwww.webofscience.com%2Fwos%2Fwoscc%2Ffull-record%2FWOS:000227598500021","View Full Record in Web of Science")</f>
        <v>View Full Record in Web of Science</v>
      </c>
    </row>
    <row r="442" spans="1:72" x14ac:dyDescent="0.15">
      <c r="A442" t="s">
        <v>72</v>
      </c>
      <c r="B442" t="s">
        <v>6717</v>
      </c>
      <c r="C442" t="s">
        <v>74</v>
      </c>
      <c r="D442" t="s">
        <v>74</v>
      </c>
      <c r="E442" t="s">
        <v>74</v>
      </c>
      <c r="F442" t="s">
        <v>6717</v>
      </c>
      <c r="G442" t="s">
        <v>74</v>
      </c>
      <c r="H442" t="s">
        <v>74</v>
      </c>
      <c r="I442" t="s">
        <v>6718</v>
      </c>
      <c r="J442" t="s">
        <v>3809</v>
      </c>
      <c r="K442" t="s">
        <v>74</v>
      </c>
      <c r="L442" t="s">
        <v>74</v>
      </c>
      <c r="M442" t="s">
        <v>77</v>
      </c>
      <c r="N442" t="s">
        <v>78</v>
      </c>
      <c r="O442" t="s">
        <v>74</v>
      </c>
      <c r="P442" t="s">
        <v>74</v>
      </c>
      <c r="Q442" t="s">
        <v>74</v>
      </c>
      <c r="R442" t="s">
        <v>74</v>
      </c>
      <c r="S442" t="s">
        <v>74</v>
      </c>
      <c r="T442" t="s">
        <v>74</v>
      </c>
      <c r="U442" t="s">
        <v>6719</v>
      </c>
      <c r="V442" t="s">
        <v>6720</v>
      </c>
      <c r="W442" t="s">
        <v>6721</v>
      </c>
      <c r="X442" t="s">
        <v>4144</v>
      </c>
      <c r="Y442" t="s">
        <v>6722</v>
      </c>
      <c r="Z442" t="s">
        <v>6723</v>
      </c>
      <c r="AA442" t="s">
        <v>4147</v>
      </c>
      <c r="AB442" t="s">
        <v>4148</v>
      </c>
      <c r="AC442" t="s">
        <v>74</v>
      </c>
      <c r="AD442" t="s">
        <v>74</v>
      </c>
      <c r="AE442" t="s">
        <v>74</v>
      </c>
      <c r="AF442" t="s">
        <v>74</v>
      </c>
      <c r="AG442">
        <v>39</v>
      </c>
      <c r="AH442">
        <v>93</v>
      </c>
      <c r="AI442">
        <v>102</v>
      </c>
      <c r="AJ442">
        <v>0</v>
      </c>
      <c r="AK442">
        <v>6</v>
      </c>
      <c r="AL442" t="s">
        <v>902</v>
      </c>
      <c r="AM442" t="s">
        <v>903</v>
      </c>
      <c r="AN442" t="s">
        <v>922</v>
      </c>
      <c r="AO442" t="s">
        <v>3817</v>
      </c>
      <c r="AP442" t="s">
        <v>3818</v>
      </c>
      <c r="AQ442" t="s">
        <v>74</v>
      </c>
      <c r="AR442" t="s">
        <v>3819</v>
      </c>
      <c r="AS442" t="s">
        <v>3820</v>
      </c>
      <c r="AT442" t="s">
        <v>5640</v>
      </c>
      <c r="AU442">
        <v>2005</v>
      </c>
      <c r="AV442">
        <v>133</v>
      </c>
      <c r="AW442">
        <v>3</v>
      </c>
      <c r="AX442" t="s">
        <v>74</v>
      </c>
      <c r="AY442" t="s">
        <v>74</v>
      </c>
      <c r="AZ442" t="s">
        <v>74</v>
      </c>
      <c r="BA442" t="s">
        <v>74</v>
      </c>
      <c r="BB442">
        <v>579</v>
      </c>
      <c r="BC442">
        <v>603</v>
      </c>
      <c r="BD442" t="s">
        <v>74</v>
      </c>
      <c r="BE442" t="s">
        <v>6724</v>
      </c>
      <c r="BF442" t="str">
        <f>HYPERLINK("http://dx.doi.org/10.1175/MWR-2881.1","http://dx.doi.org/10.1175/MWR-2881.1")</f>
        <v>http://dx.doi.org/10.1175/MWR-2881.1</v>
      </c>
      <c r="BG442" t="s">
        <v>74</v>
      </c>
      <c r="BH442" t="s">
        <v>74</v>
      </c>
      <c r="BI442">
        <v>25</v>
      </c>
      <c r="BJ442" t="s">
        <v>401</v>
      </c>
      <c r="BK442" t="s">
        <v>95</v>
      </c>
      <c r="BL442" t="s">
        <v>401</v>
      </c>
      <c r="BM442" t="s">
        <v>6725</v>
      </c>
      <c r="BN442" t="s">
        <v>74</v>
      </c>
      <c r="BO442" t="s">
        <v>74</v>
      </c>
      <c r="BP442" t="s">
        <v>74</v>
      </c>
      <c r="BQ442" t="s">
        <v>74</v>
      </c>
      <c r="BR442" t="s">
        <v>97</v>
      </c>
      <c r="BS442" t="s">
        <v>6726</v>
      </c>
      <c r="BT442" t="str">
        <f>HYPERLINK("https%3A%2F%2Fwww.webofscience.com%2Fwos%2Fwoscc%2Ffull-record%2FWOS:000227953500006","View Full Record in Web of Science")</f>
        <v>View Full Record in Web of Science</v>
      </c>
    </row>
    <row r="443" spans="1:72" x14ac:dyDescent="0.15">
      <c r="A443" t="s">
        <v>72</v>
      </c>
      <c r="B443" t="s">
        <v>6727</v>
      </c>
      <c r="C443" t="s">
        <v>74</v>
      </c>
      <c r="D443" t="s">
        <v>74</v>
      </c>
      <c r="E443" t="s">
        <v>74</v>
      </c>
      <c r="F443" t="s">
        <v>6727</v>
      </c>
      <c r="G443" t="s">
        <v>74</v>
      </c>
      <c r="H443" t="s">
        <v>74</v>
      </c>
      <c r="I443" t="s">
        <v>6728</v>
      </c>
      <c r="J443" t="s">
        <v>6729</v>
      </c>
      <c r="K443" t="s">
        <v>74</v>
      </c>
      <c r="L443" t="s">
        <v>74</v>
      </c>
      <c r="M443" t="s">
        <v>77</v>
      </c>
      <c r="N443" t="s">
        <v>78</v>
      </c>
      <c r="O443" t="s">
        <v>74</v>
      </c>
      <c r="P443" t="s">
        <v>74</v>
      </c>
      <c r="Q443" t="s">
        <v>74</v>
      </c>
      <c r="R443" t="s">
        <v>74</v>
      </c>
      <c r="S443" t="s">
        <v>74</v>
      </c>
      <c r="T443" t="s">
        <v>6730</v>
      </c>
      <c r="U443" t="s">
        <v>6731</v>
      </c>
      <c r="V443" t="s">
        <v>6732</v>
      </c>
      <c r="W443" t="s">
        <v>6733</v>
      </c>
      <c r="X443" t="s">
        <v>6734</v>
      </c>
      <c r="Y443" t="s">
        <v>6735</v>
      </c>
      <c r="Z443" t="s">
        <v>74</v>
      </c>
      <c r="AA443" t="s">
        <v>6736</v>
      </c>
      <c r="AB443" t="s">
        <v>6737</v>
      </c>
      <c r="AC443" t="s">
        <v>74</v>
      </c>
      <c r="AD443" t="s">
        <v>74</v>
      </c>
      <c r="AE443" t="s">
        <v>74</v>
      </c>
      <c r="AF443" t="s">
        <v>74</v>
      </c>
      <c r="AG443">
        <v>45</v>
      </c>
      <c r="AH443">
        <v>8</v>
      </c>
      <c r="AI443">
        <v>8</v>
      </c>
      <c r="AJ443">
        <v>0</v>
      </c>
      <c r="AK443">
        <v>7</v>
      </c>
      <c r="AL443" t="s">
        <v>6738</v>
      </c>
      <c r="AM443" t="s">
        <v>6739</v>
      </c>
      <c r="AN443" t="s">
        <v>6740</v>
      </c>
      <c r="AO443" t="s">
        <v>6741</v>
      </c>
      <c r="AP443" t="s">
        <v>74</v>
      </c>
      <c r="AQ443" t="s">
        <v>74</v>
      </c>
      <c r="AR443" t="s">
        <v>6742</v>
      </c>
      <c r="AS443" t="s">
        <v>6743</v>
      </c>
      <c r="AT443" t="s">
        <v>5640</v>
      </c>
      <c r="AU443">
        <v>2005</v>
      </c>
      <c r="AV443">
        <v>48</v>
      </c>
      <c r="AW443">
        <v>1</v>
      </c>
      <c r="AX443" t="s">
        <v>74</v>
      </c>
      <c r="AY443" t="s">
        <v>74</v>
      </c>
      <c r="AZ443" t="s">
        <v>74</v>
      </c>
      <c r="BA443" t="s">
        <v>74</v>
      </c>
      <c r="BB443">
        <v>27</v>
      </c>
      <c r="BC443">
        <v>41</v>
      </c>
      <c r="BD443" t="s">
        <v>74</v>
      </c>
      <c r="BE443" t="s">
        <v>6744</v>
      </c>
      <c r="BF443" t="str">
        <f>HYPERLINK("http://dx.doi.org/10.1080/00288306.2005.9515096","http://dx.doi.org/10.1080/00288306.2005.9515096")</f>
        <v>http://dx.doi.org/10.1080/00288306.2005.9515096</v>
      </c>
      <c r="BG443" t="s">
        <v>74</v>
      </c>
      <c r="BH443" t="s">
        <v>74</v>
      </c>
      <c r="BI443">
        <v>15</v>
      </c>
      <c r="BJ443" t="s">
        <v>6745</v>
      </c>
      <c r="BK443" t="s">
        <v>95</v>
      </c>
      <c r="BL443" t="s">
        <v>307</v>
      </c>
      <c r="BM443" t="s">
        <v>6746</v>
      </c>
      <c r="BN443" t="s">
        <v>74</v>
      </c>
      <c r="BO443" t="s">
        <v>539</v>
      </c>
      <c r="BP443" t="s">
        <v>74</v>
      </c>
      <c r="BQ443" t="s">
        <v>74</v>
      </c>
      <c r="BR443" t="s">
        <v>97</v>
      </c>
      <c r="BS443" t="s">
        <v>6747</v>
      </c>
      <c r="BT443" t="str">
        <f>HYPERLINK("https%3A%2F%2Fwww.webofscience.com%2Fwos%2Fwoscc%2Ffull-record%2FWOS:000229560400003","View Full Record in Web of Science")</f>
        <v>View Full Record in Web of Science</v>
      </c>
    </row>
    <row r="444" spans="1:72" x14ac:dyDescent="0.15">
      <c r="A444" t="s">
        <v>72</v>
      </c>
      <c r="B444" t="s">
        <v>6748</v>
      </c>
      <c r="C444" t="s">
        <v>74</v>
      </c>
      <c r="D444" t="s">
        <v>74</v>
      </c>
      <c r="E444" t="s">
        <v>74</v>
      </c>
      <c r="F444" t="s">
        <v>6748</v>
      </c>
      <c r="G444" t="s">
        <v>74</v>
      </c>
      <c r="H444" t="s">
        <v>74</v>
      </c>
      <c r="I444" t="s">
        <v>6749</v>
      </c>
      <c r="J444" t="s">
        <v>2084</v>
      </c>
      <c r="K444" t="s">
        <v>74</v>
      </c>
      <c r="L444" t="s">
        <v>74</v>
      </c>
      <c r="M444" t="s">
        <v>77</v>
      </c>
      <c r="N444" t="s">
        <v>78</v>
      </c>
      <c r="O444" t="s">
        <v>74</v>
      </c>
      <c r="P444" t="s">
        <v>74</v>
      </c>
      <c r="Q444" t="s">
        <v>74</v>
      </c>
      <c r="R444" t="s">
        <v>74</v>
      </c>
      <c r="S444" t="s">
        <v>74</v>
      </c>
      <c r="T444" t="s">
        <v>6750</v>
      </c>
      <c r="U444" t="s">
        <v>6751</v>
      </c>
      <c r="V444" t="s">
        <v>6752</v>
      </c>
      <c r="W444" t="s">
        <v>6753</v>
      </c>
      <c r="X444" t="s">
        <v>6754</v>
      </c>
      <c r="Y444" t="s">
        <v>6755</v>
      </c>
      <c r="Z444" t="s">
        <v>74</v>
      </c>
      <c r="AA444" t="s">
        <v>6756</v>
      </c>
      <c r="AB444" t="s">
        <v>6757</v>
      </c>
      <c r="AC444" t="s">
        <v>74</v>
      </c>
      <c r="AD444" t="s">
        <v>74</v>
      </c>
      <c r="AE444" t="s">
        <v>74</v>
      </c>
      <c r="AF444" t="s">
        <v>74</v>
      </c>
      <c r="AG444">
        <v>67</v>
      </c>
      <c r="AH444">
        <v>15</v>
      </c>
      <c r="AI444">
        <v>15</v>
      </c>
      <c r="AJ444">
        <v>0</v>
      </c>
      <c r="AK444">
        <v>4</v>
      </c>
      <c r="AL444" t="s">
        <v>394</v>
      </c>
      <c r="AM444" t="s">
        <v>395</v>
      </c>
      <c r="AN444" t="s">
        <v>396</v>
      </c>
      <c r="AO444" t="s">
        <v>2093</v>
      </c>
      <c r="AP444" t="s">
        <v>2094</v>
      </c>
      <c r="AQ444" t="s">
        <v>74</v>
      </c>
      <c r="AR444" t="s">
        <v>2095</v>
      </c>
      <c r="AS444" t="s">
        <v>2096</v>
      </c>
      <c r="AT444" t="s">
        <v>5640</v>
      </c>
      <c r="AU444">
        <v>2005</v>
      </c>
      <c r="AV444">
        <v>39</v>
      </c>
      <c r="AW444">
        <v>1</v>
      </c>
      <c r="AX444" t="s">
        <v>74</v>
      </c>
      <c r="AY444" t="s">
        <v>74</v>
      </c>
      <c r="AZ444" t="s">
        <v>74</v>
      </c>
      <c r="BA444" t="s">
        <v>74</v>
      </c>
      <c r="BB444">
        <v>165</v>
      </c>
      <c r="BC444">
        <v>192</v>
      </c>
      <c r="BD444" t="s">
        <v>74</v>
      </c>
      <c r="BE444" t="s">
        <v>6758</v>
      </c>
      <c r="BF444" t="str">
        <f>HYPERLINK("http://dx.doi.org/10.1080/00288330.2005.9517299","http://dx.doi.org/10.1080/00288330.2005.9517299")</f>
        <v>http://dx.doi.org/10.1080/00288330.2005.9517299</v>
      </c>
      <c r="BG444" t="s">
        <v>74</v>
      </c>
      <c r="BH444" t="s">
        <v>74</v>
      </c>
      <c r="BI444">
        <v>28</v>
      </c>
      <c r="BJ444" t="s">
        <v>1675</v>
      </c>
      <c r="BK444" t="s">
        <v>95</v>
      </c>
      <c r="BL444" t="s">
        <v>1675</v>
      </c>
      <c r="BM444" t="s">
        <v>6759</v>
      </c>
      <c r="BN444" t="s">
        <v>74</v>
      </c>
      <c r="BO444" t="s">
        <v>74</v>
      </c>
      <c r="BP444" t="s">
        <v>74</v>
      </c>
      <c r="BQ444" t="s">
        <v>74</v>
      </c>
      <c r="BR444" t="s">
        <v>97</v>
      </c>
      <c r="BS444" t="s">
        <v>6760</v>
      </c>
      <c r="BT444" t="str">
        <f>HYPERLINK("https%3A%2F%2Fwww.webofscience.com%2Fwos%2Fwoscc%2Ffull-record%2FWOS:000229011000010","View Full Record in Web of Science")</f>
        <v>View Full Record in Web of Science</v>
      </c>
    </row>
    <row r="445" spans="1:72" x14ac:dyDescent="0.15">
      <c r="A445" t="s">
        <v>72</v>
      </c>
      <c r="B445" t="s">
        <v>6761</v>
      </c>
      <c r="C445" t="s">
        <v>74</v>
      </c>
      <c r="D445" t="s">
        <v>74</v>
      </c>
      <c r="E445" t="s">
        <v>74</v>
      </c>
      <c r="F445" t="s">
        <v>6761</v>
      </c>
      <c r="G445" t="s">
        <v>74</v>
      </c>
      <c r="H445" t="s">
        <v>74</v>
      </c>
      <c r="I445" t="s">
        <v>6762</v>
      </c>
      <c r="J445" t="s">
        <v>6763</v>
      </c>
      <c r="K445" t="s">
        <v>74</v>
      </c>
      <c r="L445" t="s">
        <v>74</v>
      </c>
      <c r="M445" t="s">
        <v>77</v>
      </c>
      <c r="N445" t="s">
        <v>78</v>
      </c>
      <c r="O445" t="s">
        <v>74</v>
      </c>
      <c r="P445" t="s">
        <v>74</v>
      </c>
      <c r="Q445" t="s">
        <v>74</v>
      </c>
      <c r="R445" t="s">
        <v>74</v>
      </c>
      <c r="S445" t="s">
        <v>74</v>
      </c>
      <c r="T445" t="s">
        <v>6764</v>
      </c>
      <c r="U445" t="s">
        <v>6765</v>
      </c>
      <c r="V445" t="s">
        <v>6766</v>
      </c>
      <c r="W445" t="s">
        <v>6767</v>
      </c>
      <c r="X445" t="s">
        <v>2537</v>
      </c>
      <c r="Y445" t="s">
        <v>6768</v>
      </c>
      <c r="Z445" t="s">
        <v>6769</v>
      </c>
      <c r="AA445" t="s">
        <v>6770</v>
      </c>
      <c r="AB445" t="s">
        <v>6771</v>
      </c>
      <c r="AC445" t="s">
        <v>74</v>
      </c>
      <c r="AD445" t="s">
        <v>74</v>
      </c>
      <c r="AE445" t="s">
        <v>74</v>
      </c>
      <c r="AF445" t="s">
        <v>74</v>
      </c>
      <c r="AG445">
        <v>13</v>
      </c>
      <c r="AH445">
        <v>37</v>
      </c>
      <c r="AI445">
        <v>48</v>
      </c>
      <c r="AJ445">
        <v>1</v>
      </c>
      <c r="AK445">
        <v>15</v>
      </c>
      <c r="AL445" t="s">
        <v>133</v>
      </c>
      <c r="AM445" t="s">
        <v>134</v>
      </c>
      <c r="AN445" t="s">
        <v>155</v>
      </c>
      <c r="AO445" t="s">
        <v>6772</v>
      </c>
      <c r="AP445" t="s">
        <v>6773</v>
      </c>
      <c r="AQ445" t="s">
        <v>74</v>
      </c>
      <c r="AR445" t="s">
        <v>6763</v>
      </c>
      <c r="AS445" t="s">
        <v>6774</v>
      </c>
      <c r="AT445" t="s">
        <v>5640</v>
      </c>
      <c r="AU445">
        <v>2005</v>
      </c>
      <c r="AV445">
        <v>143</v>
      </c>
      <c r="AW445">
        <v>1</v>
      </c>
      <c r="AX445" t="s">
        <v>74</v>
      </c>
      <c r="AY445" t="s">
        <v>74</v>
      </c>
      <c r="AZ445" t="s">
        <v>74</v>
      </c>
      <c r="BA445" t="s">
        <v>74</v>
      </c>
      <c r="BB445">
        <v>143</v>
      </c>
      <c r="BC445">
        <v>147</v>
      </c>
      <c r="BD445" t="s">
        <v>74</v>
      </c>
      <c r="BE445" t="s">
        <v>6775</v>
      </c>
      <c r="BF445" t="str">
        <f>HYPERLINK("http://dx.doi.org/10.1007/s00442-004-1783-0","http://dx.doi.org/10.1007/s00442-004-1783-0")</f>
        <v>http://dx.doi.org/10.1007/s00442-004-1783-0</v>
      </c>
      <c r="BG445" t="s">
        <v>74</v>
      </c>
      <c r="BH445" t="s">
        <v>74</v>
      </c>
      <c r="BI445">
        <v>5</v>
      </c>
      <c r="BJ445" t="s">
        <v>3248</v>
      </c>
      <c r="BK445" t="s">
        <v>95</v>
      </c>
      <c r="BL445" t="s">
        <v>219</v>
      </c>
      <c r="BM445" t="s">
        <v>6776</v>
      </c>
      <c r="BN445">
        <v>15599768</v>
      </c>
      <c r="BO445" t="s">
        <v>74</v>
      </c>
      <c r="BP445" t="s">
        <v>74</v>
      </c>
      <c r="BQ445" t="s">
        <v>74</v>
      </c>
      <c r="BR445" t="s">
        <v>97</v>
      </c>
      <c r="BS445" t="s">
        <v>6777</v>
      </c>
      <c r="BT445" t="str">
        <f>HYPERLINK("https%3A%2F%2Fwww.webofscience.com%2Fwos%2Fwoscc%2Ffull-record%2FWOS:000227369700015","View Full Record in Web of Science")</f>
        <v>View Full Record in Web of Science</v>
      </c>
    </row>
    <row r="446" spans="1:72" x14ac:dyDescent="0.15">
      <c r="A446" t="s">
        <v>72</v>
      </c>
      <c r="B446" t="s">
        <v>6778</v>
      </c>
      <c r="C446" t="s">
        <v>74</v>
      </c>
      <c r="D446" t="s">
        <v>74</v>
      </c>
      <c r="E446" t="s">
        <v>74</v>
      </c>
      <c r="F446" t="s">
        <v>6778</v>
      </c>
      <c r="G446" t="s">
        <v>74</v>
      </c>
      <c r="H446" t="s">
        <v>74</v>
      </c>
      <c r="I446" t="s">
        <v>6779</v>
      </c>
      <c r="J446" t="s">
        <v>6780</v>
      </c>
      <c r="K446" t="s">
        <v>74</v>
      </c>
      <c r="L446" t="s">
        <v>74</v>
      </c>
      <c r="M446" t="s">
        <v>77</v>
      </c>
      <c r="N446" t="s">
        <v>78</v>
      </c>
      <c r="O446" t="s">
        <v>74</v>
      </c>
      <c r="P446" t="s">
        <v>74</v>
      </c>
      <c r="Q446" t="s">
        <v>74</v>
      </c>
      <c r="R446" t="s">
        <v>74</v>
      </c>
      <c r="S446" t="s">
        <v>74</v>
      </c>
      <c r="T446" t="s">
        <v>74</v>
      </c>
      <c r="U446" t="s">
        <v>6781</v>
      </c>
      <c r="V446" t="s">
        <v>6782</v>
      </c>
      <c r="W446" t="s">
        <v>6783</v>
      </c>
      <c r="X446" t="s">
        <v>6784</v>
      </c>
      <c r="Y446" t="s">
        <v>6785</v>
      </c>
      <c r="Z446" t="s">
        <v>6786</v>
      </c>
      <c r="AA446" t="s">
        <v>6787</v>
      </c>
      <c r="AB446" t="s">
        <v>6788</v>
      </c>
      <c r="AC446" t="s">
        <v>74</v>
      </c>
      <c r="AD446" t="s">
        <v>74</v>
      </c>
      <c r="AE446" t="s">
        <v>74</v>
      </c>
      <c r="AF446" t="s">
        <v>74</v>
      </c>
      <c r="AG446">
        <v>52</v>
      </c>
      <c r="AH446">
        <v>99</v>
      </c>
      <c r="AI446">
        <v>110</v>
      </c>
      <c r="AJ446">
        <v>1</v>
      </c>
      <c r="AK446">
        <v>49</v>
      </c>
      <c r="AL446" t="s">
        <v>472</v>
      </c>
      <c r="AM446" t="s">
        <v>473</v>
      </c>
      <c r="AN446" t="s">
        <v>474</v>
      </c>
      <c r="AO446" t="s">
        <v>6789</v>
      </c>
      <c r="AP446" t="s">
        <v>6790</v>
      </c>
      <c r="AQ446" t="s">
        <v>74</v>
      </c>
      <c r="AR446" t="s">
        <v>6780</v>
      </c>
      <c r="AS446" t="s">
        <v>6791</v>
      </c>
      <c r="AT446" t="s">
        <v>5640</v>
      </c>
      <c r="AU446">
        <v>2005</v>
      </c>
      <c r="AV446">
        <v>108</v>
      </c>
      <c r="AW446">
        <v>3</v>
      </c>
      <c r="AX446" t="s">
        <v>74</v>
      </c>
      <c r="AY446" t="s">
        <v>74</v>
      </c>
      <c r="AZ446" t="s">
        <v>74</v>
      </c>
      <c r="BA446" t="s">
        <v>74</v>
      </c>
      <c r="BB446">
        <v>511</v>
      </c>
      <c r="BC446">
        <v>522</v>
      </c>
      <c r="BD446" t="s">
        <v>74</v>
      </c>
      <c r="BE446" t="s">
        <v>6792</v>
      </c>
      <c r="BF446" t="str">
        <f>HYPERLINK("http://dx.doi.org/10.1111/j.0030-1299.2005.13351.x","http://dx.doi.org/10.1111/j.0030-1299.2005.13351.x")</f>
        <v>http://dx.doi.org/10.1111/j.0030-1299.2005.13351.x</v>
      </c>
      <c r="BG446" t="s">
        <v>74</v>
      </c>
      <c r="BH446" t="s">
        <v>74</v>
      </c>
      <c r="BI446">
        <v>12</v>
      </c>
      <c r="BJ446" t="s">
        <v>3248</v>
      </c>
      <c r="BK446" t="s">
        <v>95</v>
      </c>
      <c r="BL446" t="s">
        <v>219</v>
      </c>
      <c r="BM446" t="s">
        <v>6793</v>
      </c>
      <c r="BN446" t="s">
        <v>74</v>
      </c>
      <c r="BO446" t="s">
        <v>74</v>
      </c>
      <c r="BP446" t="s">
        <v>74</v>
      </c>
      <c r="BQ446" t="s">
        <v>74</v>
      </c>
      <c r="BR446" t="s">
        <v>97</v>
      </c>
      <c r="BS446" t="s">
        <v>6794</v>
      </c>
      <c r="BT446" t="str">
        <f>HYPERLINK("https%3A%2F%2Fwww.webofscience.com%2Fwos%2Fwoscc%2Ffull-record%2FWOS:000226898200009","View Full Record in Web of Science")</f>
        <v>View Full Record in Web of Science</v>
      </c>
    </row>
    <row r="447" spans="1:72" x14ac:dyDescent="0.15">
      <c r="A447" t="s">
        <v>72</v>
      </c>
      <c r="B447" t="s">
        <v>6795</v>
      </c>
      <c r="C447" t="s">
        <v>74</v>
      </c>
      <c r="D447" t="s">
        <v>74</v>
      </c>
      <c r="E447" t="s">
        <v>74</v>
      </c>
      <c r="F447" t="s">
        <v>6795</v>
      </c>
      <c r="G447" t="s">
        <v>74</v>
      </c>
      <c r="H447" t="s">
        <v>74</v>
      </c>
      <c r="I447" t="s">
        <v>6796</v>
      </c>
      <c r="J447" t="s">
        <v>6797</v>
      </c>
      <c r="K447" t="s">
        <v>74</v>
      </c>
      <c r="L447" t="s">
        <v>74</v>
      </c>
      <c r="M447" t="s">
        <v>77</v>
      </c>
      <c r="N447" t="s">
        <v>78</v>
      </c>
      <c r="O447" t="s">
        <v>74</v>
      </c>
      <c r="P447" t="s">
        <v>74</v>
      </c>
      <c r="Q447" t="s">
        <v>74</v>
      </c>
      <c r="R447" t="s">
        <v>74</v>
      </c>
      <c r="S447" t="s">
        <v>74</v>
      </c>
      <c r="T447" t="s">
        <v>6798</v>
      </c>
      <c r="U447" t="s">
        <v>6799</v>
      </c>
      <c r="V447" t="s">
        <v>6800</v>
      </c>
      <c r="W447" t="s">
        <v>6801</v>
      </c>
      <c r="X447" t="s">
        <v>6802</v>
      </c>
      <c r="Y447" t="s">
        <v>6803</v>
      </c>
      <c r="Z447" t="s">
        <v>6804</v>
      </c>
      <c r="AA447" t="s">
        <v>6805</v>
      </c>
      <c r="AB447" t="s">
        <v>6806</v>
      </c>
      <c r="AC447" t="s">
        <v>74</v>
      </c>
      <c r="AD447" t="s">
        <v>74</v>
      </c>
      <c r="AE447" t="s">
        <v>74</v>
      </c>
      <c r="AF447" t="s">
        <v>74</v>
      </c>
      <c r="AG447">
        <v>39</v>
      </c>
      <c r="AH447">
        <v>8</v>
      </c>
      <c r="AI447">
        <v>9</v>
      </c>
      <c r="AJ447">
        <v>0</v>
      </c>
      <c r="AK447">
        <v>2</v>
      </c>
      <c r="AL447" t="s">
        <v>3752</v>
      </c>
      <c r="AM447" t="s">
        <v>473</v>
      </c>
      <c r="AN447" t="s">
        <v>474</v>
      </c>
      <c r="AO447" t="s">
        <v>6807</v>
      </c>
      <c r="AP447" t="s">
        <v>74</v>
      </c>
      <c r="AQ447" t="s">
        <v>74</v>
      </c>
      <c r="AR447" t="s">
        <v>6797</v>
      </c>
      <c r="AS447" t="s">
        <v>420</v>
      </c>
      <c r="AT447" t="s">
        <v>5640</v>
      </c>
      <c r="AU447">
        <v>2005</v>
      </c>
      <c r="AV447">
        <v>48</v>
      </c>
      <c r="AW447" t="s">
        <v>74</v>
      </c>
      <c r="AX447">
        <v>2</v>
      </c>
      <c r="AY447" t="s">
        <v>74</v>
      </c>
      <c r="AZ447" t="s">
        <v>74</v>
      </c>
      <c r="BA447" t="s">
        <v>74</v>
      </c>
      <c r="BB447">
        <v>423</v>
      </c>
      <c r="BC447">
        <v>431</v>
      </c>
      <c r="BD447" t="s">
        <v>74</v>
      </c>
      <c r="BE447" t="s">
        <v>6808</v>
      </c>
      <c r="BF447" t="str">
        <f>HYPERLINK("http://dx.doi.org/10.1111/j.1475-4983.2005.00454.x","http://dx.doi.org/10.1111/j.1475-4983.2005.00454.x")</f>
        <v>http://dx.doi.org/10.1111/j.1475-4983.2005.00454.x</v>
      </c>
      <c r="BG447" t="s">
        <v>74</v>
      </c>
      <c r="BH447" t="s">
        <v>74</v>
      </c>
      <c r="BI447">
        <v>9</v>
      </c>
      <c r="BJ447" t="s">
        <v>420</v>
      </c>
      <c r="BK447" t="s">
        <v>95</v>
      </c>
      <c r="BL447" t="s">
        <v>420</v>
      </c>
      <c r="BM447" t="s">
        <v>6809</v>
      </c>
      <c r="BN447" t="s">
        <v>74</v>
      </c>
      <c r="BO447" t="s">
        <v>539</v>
      </c>
      <c r="BP447" t="s">
        <v>74</v>
      </c>
      <c r="BQ447" t="s">
        <v>74</v>
      </c>
      <c r="BR447" t="s">
        <v>97</v>
      </c>
      <c r="BS447" t="s">
        <v>6810</v>
      </c>
      <c r="BT447" t="str">
        <f>HYPERLINK("https%3A%2F%2Fwww.webofscience.com%2Fwos%2Fwoscc%2Ffull-record%2FWOS:000227650000014","View Full Record in Web of Science")</f>
        <v>View Full Record in Web of Science</v>
      </c>
    </row>
    <row r="448" spans="1:72" x14ac:dyDescent="0.15">
      <c r="A448" t="s">
        <v>72</v>
      </c>
      <c r="B448" t="s">
        <v>6811</v>
      </c>
      <c r="C448" t="s">
        <v>74</v>
      </c>
      <c r="D448" t="s">
        <v>74</v>
      </c>
      <c r="E448" t="s">
        <v>74</v>
      </c>
      <c r="F448" t="s">
        <v>6811</v>
      </c>
      <c r="G448" t="s">
        <v>74</v>
      </c>
      <c r="H448" t="s">
        <v>74</v>
      </c>
      <c r="I448" t="s">
        <v>6812</v>
      </c>
      <c r="J448" t="s">
        <v>3840</v>
      </c>
      <c r="K448" t="s">
        <v>74</v>
      </c>
      <c r="L448" t="s">
        <v>74</v>
      </c>
      <c r="M448" t="s">
        <v>77</v>
      </c>
      <c r="N448" t="s">
        <v>78</v>
      </c>
      <c r="O448" t="s">
        <v>74</v>
      </c>
      <c r="P448" t="s">
        <v>74</v>
      </c>
      <c r="Q448" t="s">
        <v>74</v>
      </c>
      <c r="R448" t="s">
        <v>74</v>
      </c>
      <c r="S448" t="s">
        <v>74</v>
      </c>
      <c r="T448" t="s">
        <v>74</v>
      </c>
      <c r="U448" t="s">
        <v>6813</v>
      </c>
      <c r="V448" t="s">
        <v>6814</v>
      </c>
      <c r="W448" t="s">
        <v>3843</v>
      </c>
      <c r="X448" t="s">
        <v>3844</v>
      </c>
      <c r="Y448" t="s">
        <v>811</v>
      </c>
      <c r="Z448" t="s">
        <v>3846</v>
      </c>
      <c r="AA448" t="s">
        <v>74</v>
      </c>
      <c r="AB448" t="s">
        <v>74</v>
      </c>
      <c r="AC448" t="s">
        <v>74</v>
      </c>
      <c r="AD448" t="s">
        <v>74</v>
      </c>
      <c r="AE448" t="s">
        <v>74</v>
      </c>
      <c r="AF448" t="s">
        <v>74</v>
      </c>
      <c r="AG448">
        <v>13</v>
      </c>
      <c r="AH448">
        <v>8</v>
      </c>
      <c r="AI448">
        <v>9</v>
      </c>
      <c r="AJ448">
        <v>1</v>
      </c>
      <c r="AK448">
        <v>1</v>
      </c>
      <c r="AL448" t="s">
        <v>472</v>
      </c>
      <c r="AM448" t="s">
        <v>473</v>
      </c>
      <c r="AN448" t="s">
        <v>474</v>
      </c>
      <c r="AO448" t="s">
        <v>3850</v>
      </c>
      <c r="AP448" t="s">
        <v>6815</v>
      </c>
      <c r="AQ448" t="s">
        <v>74</v>
      </c>
      <c r="AR448" t="s">
        <v>3851</v>
      </c>
      <c r="AS448" t="s">
        <v>3852</v>
      </c>
      <c r="AT448" t="s">
        <v>6002</v>
      </c>
      <c r="AU448">
        <v>2005</v>
      </c>
      <c r="AV448">
        <v>81</v>
      </c>
      <c r="AW448">
        <v>2</v>
      </c>
      <c r="AX448" t="s">
        <v>74</v>
      </c>
      <c r="AY448" t="s">
        <v>74</v>
      </c>
      <c r="AZ448" t="s">
        <v>74</v>
      </c>
      <c r="BA448" t="s">
        <v>74</v>
      </c>
      <c r="BB448">
        <v>320</v>
      </c>
      <c r="BC448">
        <v>324</v>
      </c>
      <c r="BD448" t="s">
        <v>74</v>
      </c>
      <c r="BE448" t="s">
        <v>6816</v>
      </c>
      <c r="BF448" t="str">
        <f>HYPERLINK("http://dx.doi.org/10.1562/2004-07-21-RA-239.1","http://dx.doi.org/10.1562/2004-07-21-RA-239.1")</f>
        <v>http://dx.doi.org/10.1562/2004-07-21-RA-239.1</v>
      </c>
      <c r="BG448" t="s">
        <v>74</v>
      </c>
      <c r="BH448" t="s">
        <v>74</v>
      </c>
      <c r="BI448">
        <v>5</v>
      </c>
      <c r="BJ448" t="s">
        <v>3854</v>
      </c>
      <c r="BK448" t="s">
        <v>95</v>
      </c>
      <c r="BL448" t="s">
        <v>3854</v>
      </c>
      <c r="BM448" t="s">
        <v>6817</v>
      </c>
      <c r="BN448">
        <v>15646997</v>
      </c>
      <c r="BO448" t="s">
        <v>74</v>
      </c>
      <c r="BP448" t="s">
        <v>74</v>
      </c>
      <c r="BQ448" t="s">
        <v>74</v>
      </c>
      <c r="BR448" t="s">
        <v>97</v>
      </c>
      <c r="BS448" t="s">
        <v>6818</v>
      </c>
      <c r="BT448" t="str">
        <f>HYPERLINK("https%3A%2F%2Fwww.webofscience.com%2Fwos%2Fwoscc%2Ffull-record%2FWOS:000228463500012","View Full Record in Web of Science")</f>
        <v>View Full Record in Web of Science</v>
      </c>
    </row>
    <row r="449" spans="1:72" x14ac:dyDescent="0.15">
      <c r="A449" t="s">
        <v>72</v>
      </c>
      <c r="B449" t="s">
        <v>6819</v>
      </c>
      <c r="C449" t="s">
        <v>74</v>
      </c>
      <c r="D449" t="s">
        <v>74</v>
      </c>
      <c r="E449" t="s">
        <v>74</v>
      </c>
      <c r="F449" t="s">
        <v>6819</v>
      </c>
      <c r="G449" t="s">
        <v>74</v>
      </c>
      <c r="H449" t="s">
        <v>74</v>
      </c>
      <c r="I449" t="s">
        <v>6820</v>
      </c>
      <c r="J449" t="s">
        <v>124</v>
      </c>
      <c r="K449" t="s">
        <v>74</v>
      </c>
      <c r="L449" t="s">
        <v>74</v>
      </c>
      <c r="M449" t="s">
        <v>77</v>
      </c>
      <c r="N449" t="s">
        <v>365</v>
      </c>
      <c r="O449" t="s">
        <v>74</v>
      </c>
      <c r="P449" t="s">
        <v>74</v>
      </c>
      <c r="Q449" t="s">
        <v>74</v>
      </c>
      <c r="R449" t="s">
        <v>74</v>
      </c>
      <c r="S449" t="s">
        <v>74</v>
      </c>
      <c r="T449" t="s">
        <v>74</v>
      </c>
      <c r="U449" t="s">
        <v>6821</v>
      </c>
      <c r="V449" t="s">
        <v>6822</v>
      </c>
      <c r="W449" t="s">
        <v>6823</v>
      </c>
      <c r="X449" t="s">
        <v>6824</v>
      </c>
      <c r="Y449" t="s">
        <v>6825</v>
      </c>
      <c r="Z449" t="s">
        <v>6826</v>
      </c>
      <c r="AA449" t="s">
        <v>74</v>
      </c>
      <c r="AB449" t="s">
        <v>6827</v>
      </c>
      <c r="AC449" t="s">
        <v>74</v>
      </c>
      <c r="AD449" t="s">
        <v>74</v>
      </c>
      <c r="AE449" t="s">
        <v>74</v>
      </c>
      <c r="AF449" t="s">
        <v>74</v>
      </c>
      <c r="AG449">
        <v>33</v>
      </c>
      <c r="AH449">
        <v>17</v>
      </c>
      <c r="AI449">
        <v>18</v>
      </c>
      <c r="AJ449">
        <v>1</v>
      </c>
      <c r="AK449">
        <v>10</v>
      </c>
      <c r="AL449" t="s">
        <v>133</v>
      </c>
      <c r="AM449" t="s">
        <v>134</v>
      </c>
      <c r="AN449" t="s">
        <v>155</v>
      </c>
      <c r="AO449" t="s">
        <v>136</v>
      </c>
      <c r="AP449" t="s">
        <v>156</v>
      </c>
      <c r="AQ449" t="s">
        <v>74</v>
      </c>
      <c r="AR449" t="s">
        <v>137</v>
      </c>
      <c r="AS449" t="s">
        <v>138</v>
      </c>
      <c r="AT449" t="s">
        <v>5640</v>
      </c>
      <c r="AU449">
        <v>2005</v>
      </c>
      <c r="AV449">
        <v>28</v>
      </c>
      <c r="AW449">
        <v>4</v>
      </c>
      <c r="AX449" t="s">
        <v>74</v>
      </c>
      <c r="AY449" t="s">
        <v>74</v>
      </c>
      <c r="AZ449" t="s">
        <v>74</v>
      </c>
      <c r="BA449" t="s">
        <v>74</v>
      </c>
      <c r="BB449">
        <v>255</v>
      </c>
      <c r="BC449">
        <v>260</v>
      </c>
      <c r="BD449" t="s">
        <v>74</v>
      </c>
      <c r="BE449" t="s">
        <v>6828</v>
      </c>
      <c r="BF449" t="str">
        <f>HYPERLINK("http://dx.doi.org/10.1007/s00300-004-0682-5","http://dx.doi.org/10.1007/s00300-004-0682-5")</f>
        <v>http://dx.doi.org/10.1007/s00300-004-0682-5</v>
      </c>
      <c r="BG449" t="s">
        <v>74</v>
      </c>
      <c r="BH449" t="s">
        <v>74</v>
      </c>
      <c r="BI449">
        <v>6</v>
      </c>
      <c r="BJ449" t="s">
        <v>140</v>
      </c>
      <c r="BK449" t="s">
        <v>95</v>
      </c>
      <c r="BL449" t="s">
        <v>141</v>
      </c>
      <c r="BM449" t="s">
        <v>6829</v>
      </c>
      <c r="BN449" t="s">
        <v>74</v>
      </c>
      <c r="BO449" t="s">
        <v>74</v>
      </c>
      <c r="BP449" t="s">
        <v>74</v>
      </c>
      <c r="BQ449" t="s">
        <v>74</v>
      </c>
      <c r="BR449" t="s">
        <v>97</v>
      </c>
      <c r="BS449" t="s">
        <v>6830</v>
      </c>
      <c r="BT449" t="str">
        <f>HYPERLINK("https%3A%2F%2Fwww.webofscience.com%2Fwos%2Fwoscc%2Ffull-record%2FWOS:000227552000001","View Full Record in Web of Science")</f>
        <v>View Full Record in Web of Science</v>
      </c>
    </row>
    <row r="450" spans="1:72" x14ac:dyDescent="0.15">
      <c r="A450" t="s">
        <v>72</v>
      </c>
      <c r="B450" t="s">
        <v>6831</v>
      </c>
      <c r="C450" t="s">
        <v>74</v>
      </c>
      <c r="D450" t="s">
        <v>74</v>
      </c>
      <c r="E450" t="s">
        <v>74</v>
      </c>
      <c r="F450" t="s">
        <v>6831</v>
      </c>
      <c r="G450" t="s">
        <v>74</v>
      </c>
      <c r="H450" t="s">
        <v>74</v>
      </c>
      <c r="I450" t="s">
        <v>6832</v>
      </c>
      <c r="J450" t="s">
        <v>124</v>
      </c>
      <c r="K450" t="s">
        <v>74</v>
      </c>
      <c r="L450" t="s">
        <v>74</v>
      </c>
      <c r="M450" t="s">
        <v>77</v>
      </c>
      <c r="N450" t="s">
        <v>78</v>
      </c>
      <c r="O450" t="s">
        <v>74</v>
      </c>
      <c r="P450" t="s">
        <v>74</v>
      </c>
      <c r="Q450" t="s">
        <v>74</v>
      </c>
      <c r="R450" t="s">
        <v>74</v>
      </c>
      <c r="S450" t="s">
        <v>74</v>
      </c>
      <c r="T450" t="s">
        <v>74</v>
      </c>
      <c r="U450" t="s">
        <v>6833</v>
      </c>
      <c r="V450" t="s">
        <v>6834</v>
      </c>
      <c r="W450" t="s">
        <v>4651</v>
      </c>
      <c r="X450" t="s">
        <v>4652</v>
      </c>
      <c r="Y450" t="s">
        <v>4653</v>
      </c>
      <c r="Z450" t="s">
        <v>4654</v>
      </c>
      <c r="AA450" t="s">
        <v>74</v>
      </c>
      <c r="AB450" t="s">
        <v>74</v>
      </c>
      <c r="AC450" t="s">
        <v>74</v>
      </c>
      <c r="AD450" t="s">
        <v>74</v>
      </c>
      <c r="AE450" t="s">
        <v>74</v>
      </c>
      <c r="AF450" t="s">
        <v>74</v>
      </c>
      <c r="AG450">
        <v>30</v>
      </c>
      <c r="AH450">
        <v>90</v>
      </c>
      <c r="AI450">
        <v>110</v>
      </c>
      <c r="AJ450">
        <v>0</v>
      </c>
      <c r="AK450">
        <v>12</v>
      </c>
      <c r="AL450" t="s">
        <v>133</v>
      </c>
      <c r="AM450" t="s">
        <v>134</v>
      </c>
      <c r="AN450" t="s">
        <v>155</v>
      </c>
      <c r="AO450" t="s">
        <v>136</v>
      </c>
      <c r="AP450" t="s">
        <v>156</v>
      </c>
      <c r="AQ450" t="s">
        <v>74</v>
      </c>
      <c r="AR450" t="s">
        <v>137</v>
      </c>
      <c r="AS450" t="s">
        <v>138</v>
      </c>
      <c r="AT450" t="s">
        <v>5640</v>
      </c>
      <c r="AU450">
        <v>2005</v>
      </c>
      <c r="AV450">
        <v>28</v>
      </c>
      <c r="AW450">
        <v>4</v>
      </c>
      <c r="AX450" t="s">
        <v>74</v>
      </c>
      <c r="AY450" t="s">
        <v>74</v>
      </c>
      <c r="AZ450" t="s">
        <v>74</v>
      </c>
      <c r="BA450" t="s">
        <v>74</v>
      </c>
      <c r="BB450">
        <v>261</v>
      </c>
      <c r="BC450">
        <v>267</v>
      </c>
      <c r="BD450" t="s">
        <v>74</v>
      </c>
      <c r="BE450" t="s">
        <v>6835</v>
      </c>
      <c r="BF450" t="str">
        <f>HYPERLINK("http://dx.doi.org/10.1007/s00300-004-0697-y","http://dx.doi.org/10.1007/s00300-004-0697-y")</f>
        <v>http://dx.doi.org/10.1007/s00300-004-0697-y</v>
      </c>
      <c r="BG450" t="s">
        <v>74</v>
      </c>
      <c r="BH450" t="s">
        <v>74</v>
      </c>
      <c r="BI450">
        <v>7</v>
      </c>
      <c r="BJ450" t="s">
        <v>140</v>
      </c>
      <c r="BK450" t="s">
        <v>95</v>
      </c>
      <c r="BL450" t="s">
        <v>141</v>
      </c>
      <c r="BM450" t="s">
        <v>6829</v>
      </c>
      <c r="BN450" t="s">
        <v>74</v>
      </c>
      <c r="BO450" t="s">
        <v>74</v>
      </c>
      <c r="BP450" t="s">
        <v>74</v>
      </c>
      <c r="BQ450" t="s">
        <v>74</v>
      </c>
      <c r="BR450" t="s">
        <v>97</v>
      </c>
      <c r="BS450" t="s">
        <v>6836</v>
      </c>
      <c r="BT450" t="str">
        <f>HYPERLINK("https%3A%2F%2Fwww.webofscience.com%2Fwos%2Fwoscc%2Ffull-record%2FWOS:000227552000002","View Full Record in Web of Science")</f>
        <v>View Full Record in Web of Science</v>
      </c>
    </row>
    <row r="451" spans="1:72" x14ac:dyDescent="0.15">
      <c r="A451" t="s">
        <v>72</v>
      </c>
      <c r="B451" t="s">
        <v>6837</v>
      </c>
      <c r="C451" t="s">
        <v>74</v>
      </c>
      <c r="D451" t="s">
        <v>74</v>
      </c>
      <c r="E451" t="s">
        <v>74</v>
      </c>
      <c r="F451" t="s">
        <v>6837</v>
      </c>
      <c r="G451" t="s">
        <v>74</v>
      </c>
      <c r="H451" t="s">
        <v>74</v>
      </c>
      <c r="I451" t="s">
        <v>6838</v>
      </c>
      <c r="J451" t="s">
        <v>124</v>
      </c>
      <c r="K451" t="s">
        <v>74</v>
      </c>
      <c r="L451" t="s">
        <v>74</v>
      </c>
      <c r="M451" t="s">
        <v>77</v>
      </c>
      <c r="N451" t="s">
        <v>78</v>
      </c>
      <c r="O451" t="s">
        <v>74</v>
      </c>
      <c r="P451" t="s">
        <v>74</v>
      </c>
      <c r="Q451" t="s">
        <v>74</v>
      </c>
      <c r="R451" t="s">
        <v>74</v>
      </c>
      <c r="S451" t="s">
        <v>74</v>
      </c>
      <c r="T451" t="s">
        <v>74</v>
      </c>
      <c r="U451" t="s">
        <v>6839</v>
      </c>
      <c r="V451" t="s">
        <v>6840</v>
      </c>
      <c r="W451" t="s">
        <v>6841</v>
      </c>
      <c r="X451" t="s">
        <v>6842</v>
      </c>
      <c r="Y451" t="s">
        <v>6843</v>
      </c>
      <c r="Z451" t="s">
        <v>6844</v>
      </c>
      <c r="AA451" t="s">
        <v>6845</v>
      </c>
      <c r="AB451" t="s">
        <v>6846</v>
      </c>
      <c r="AC451" t="s">
        <v>74</v>
      </c>
      <c r="AD451" t="s">
        <v>74</v>
      </c>
      <c r="AE451" t="s">
        <v>74</v>
      </c>
      <c r="AF451" t="s">
        <v>74</v>
      </c>
      <c r="AG451">
        <v>51</v>
      </c>
      <c r="AH451">
        <v>13</v>
      </c>
      <c r="AI451">
        <v>13</v>
      </c>
      <c r="AJ451">
        <v>0</v>
      </c>
      <c r="AK451">
        <v>12</v>
      </c>
      <c r="AL451" t="s">
        <v>133</v>
      </c>
      <c r="AM451" t="s">
        <v>134</v>
      </c>
      <c r="AN451" t="s">
        <v>155</v>
      </c>
      <c r="AO451" t="s">
        <v>136</v>
      </c>
      <c r="AP451" t="s">
        <v>74</v>
      </c>
      <c r="AQ451" t="s">
        <v>74</v>
      </c>
      <c r="AR451" t="s">
        <v>137</v>
      </c>
      <c r="AS451" t="s">
        <v>138</v>
      </c>
      <c r="AT451" t="s">
        <v>5640</v>
      </c>
      <c r="AU451">
        <v>2005</v>
      </c>
      <c r="AV451">
        <v>28</v>
      </c>
      <c r="AW451">
        <v>4</v>
      </c>
      <c r="AX451" t="s">
        <v>74</v>
      </c>
      <c r="AY451" t="s">
        <v>74</v>
      </c>
      <c r="AZ451" t="s">
        <v>74</v>
      </c>
      <c r="BA451" t="s">
        <v>74</v>
      </c>
      <c r="BB451">
        <v>268</v>
      </c>
      <c r="BC451">
        <v>275</v>
      </c>
      <c r="BD451" t="s">
        <v>74</v>
      </c>
      <c r="BE451" t="s">
        <v>6847</v>
      </c>
      <c r="BF451" t="str">
        <f>HYPERLINK("http://dx.doi.org/10.1007/s00300-004-0692-3","http://dx.doi.org/10.1007/s00300-004-0692-3")</f>
        <v>http://dx.doi.org/10.1007/s00300-004-0692-3</v>
      </c>
      <c r="BG451" t="s">
        <v>74</v>
      </c>
      <c r="BH451" t="s">
        <v>74</v>
      </c>
      <c r="BI451">
        <v>8</v>
      </c>
      <c r="BJ451" t="s">
        <v>140</v>
      </c>
      <c r="BK451" t="s">
        <v>95</v>
      </c>
      <c r="BL451" t="s">
        <v>141</v>
      </c>
      <c r="BM451" t="s">
        <v>6829</v>
      </c>
      <c r="BN451" t="s">
        <v>74</v>
      </c>
      <c r="BO451" t="s">
        <v>74</v>
      </c>
      <c r="BP451" t="s">
        <v>74</v>
      </c>
      <c r="BQ451" t="s">
        <v>74</v>
      </c>
      <c r="BR451" t="s">
        <v>97</v>
      </c>
      <c r="BS451" t="s">
        <v>6848</v>
      </c>
      <c r="BT451" t="str">
        <f>HYPERLINK("https%3A%2F%2Fwww.webofscience.com%2Fwos%2Fwoscc%2Ffull-record%2FWOS:000227552000003","View Full Record in Web of Science")</f>
        <v>View Full Record in Web of Science</v>
      </c>
    </row>
    <row r="452" spans="1:72" x14ac:dyDescent="0.15">
      <c r="A452" t="s">
        <v>72</v>
      </c>
      <c r="B452" t="s">
        <v>6849</v>
      </c>
      <c r="C452" t="s">
        <v>74</v>
      </c>
      <c r="D452" t="s">
        <v>74</v>
      </c>
      <c r="E452" t="s">
        <v>74</v>
      </c>
      <c r="F452" t="s">
        <v>6849</v>
      </c>
      <c r="G452" t="s">
        <v>74</v>
      </c>
      <c r="H452" t="s">
        <v>74</v>
      </c>
      <c r="I452" t="s">
        <v>6850</v>
      </c>
      <c r="J452" t="s">
        <v>124</v>
      </c>
      <c r="K452" t="s">
        <v>74</v>
      </c>
      <c r="L452" t="s">
        <v>74</v>
      </c>
      <c r="M452" t="s">
        <v>77</v>
      </c>
      <c r="N452" t="s">
        <v>78</v>
      </c>
      <c r="O452" t="s">
        <v>74</v>
      </c>
      <c r="P452" t="s">
        <v>74</v>
      </c>
      <c r="Q452" t="s">
        <v>74</v>
      </c>
      <c r="R452" t="s">
        <v>74</v>
      </c>
      <c r="S452" t="s">
        <v>74</v>
      </c>
      <c r="T452" t="s">
        <v>74</v>
      </c>
      <c r="U452" t="s">
        <v>6851</v>
      </c>
      <c r="V452" t="s">
        <v>6852</v>
      </c>
      <c r="W452" t="s">
        <v>6853</v>
      </c>
      <c r="X452" t="s">
        <v>6854</v>
      </c>
      <c r="Y452" t="s">
        <v>6855</v>
      </c>
      <c r="Z452" t="s">
        <v>6856</v>
      </c>
      <c r="AA452" t="s">
        <v>6857</v>
      </c>
      <c r="AB452" t="s">
        <v>6858</v>
      </c>
      <c r="AC452" t="s">
        <v>74</v>
      </c>
      <c r="AD452" t="s">
        <v>74</v>
      </c>
      <c r="AE452" t="s">
        <v>74</v>
      </c>
      <c r="AF452" t="s">
        <v>74</v>
      </c>
      <c r="AG452">
        <v>35</v>
      </c>
      <c r="AH452">
        <v>26</v>
      </c>
      <c r="AI452">
        <v>29</v>
      </c>
      <c r="AJ452">
        <v>2</v>
      </c>
      <c r="AK452">
        <v>22</v>
      </c>
      <c r="AL452" t="s">
        <v>133</v>
      </c>
      <c r="AM452" t="s">
        <v>134</v>
      </c>
      <c r="AN452" t="s">
        <v>155</v>
      </c>
      <c r="AO452" t="s">
        <v>136</v>
      </c>
      <c r="AP452" t="s">
        <v>156</v>
      </c>
      <c r="AQ452" t="s">
        <v>74</v>
      </c>
      <c r="AR452" t="s">
        <v>137</v>
      </c>
      <c r="AS452" t="s">
        <v>138</v>
      </c>
      <c r="AT452" t="s">
        <v>5640</v>
      </c>
      <c r="AU452">
        <v>2005</v>
      </c>
      <c r="AV452">
        <v>28</v>
      </c>
      <c r="AW452">
        <v>4</v>
      </c>
      <c r="AX452" t="s">
        <v>74</v>
      </c>
      <c r="AY452" t="s">
        <v>74</v>
      </c>
      <c r="AZ452" t="s">
        <v>74</v>
      </c>
      <c r="BA452" t="s">
        <v>74</v>
      </c>
      <c r="BB452">
        <v>284</v>
      </c>
      <c r="BC452">
        <v>289</v>
      </c>
      <c r="BD452" t="s">
        <v>74</v>
      </c>
      <c r="BE452" t="s">
        <v>6859</v>
      </c>
      <c r="BF452" t="str">
        <f>HYPERLINK("http://dx.doi.org/10.1007/s00300-004-0688-z","http://dx.doi.org/10.1007/s00300-004-0688-z")</f>
        <v>http://dx.doi.org/10.1007/s00300-004-0688-z</v>
      </c>
      <c r="BG452" t="s">
        <v>74</v>
      </c>
      <c r="BH452" t="s">
        <v>74</v>
      </c>
      <c r="BI452">
        <v>6</v>
      </c>
      <c r="BJ452" t="s">
        <v>140</v>
      </c>
      <c r="BK452" t="s">
        <v>95</v>
      </c>
      <c r="BL452" t="s">
        <v>141</v>
      </c>
      <c r="BM452" t="s">
        <v>6829</v>
      </c>
      <c r="BN452" t="s">
        <v>74</v>
      </c>
      <c r="BO452" t="s">
        <v>74</v>
      </c>
      <c r="BP452" t="s">
        <v>74</v>
      </c>
      <c r="BQ452" t="s">
        <v>74</v>
      </c>
      <c r="BR452" t="s">
        <v>97</v>
      </c>
      <c r="BS452" t="s">
        <v>6860</v>
      </c>
      <c r="BT452" t="str">
        <f>HYPERLINK("https%3A%2F%2Fwww.webofscience.com%2Fwos%2Fwoscc%2Ffull-record%2FWOS:000227552000005","View Full Record in Web of Science")</f>
        <v>View Full Record in Web of Science</v>
      </c>
    </row>
    <row r="453" spans="1:72" x14ac:dyDescent="0.15">
      <c r="A453" t="s">
        <v>72</v>
      </c>
      <c r="B453" t="s">
        <v>6861</v>
      </c>
      <c r="C453" t="s">
        <v>74</v>
      </c>
      <c r="D453" t="s">
        <v>74</v>
      </c>
      <c r="E453" t="s">
        <v>74</v>
      </c>
      <c r="F453" t="s">
        <v>6861</v>
      </c>
      <c r="G453" t="s">
        <v>74</v>
      </c>
      <c r="H453" t="s">
        <v>74</v>
      </c>
      <c r="I453" t="s">
        <v>6862</v>
      </c>
      <c r="J453" t="s">
        <v>124</v>
      </c>
      <c r="K453" t="s">
        <v>74</v>
      </c>
      <c r="L453" t="s">
        <v>74</v>
      </c>
      <c r="M453" t="s">
        <v>77</v>
      </c>
      <c r="N453" t="s">
        <v>78</v>
      </c>
      <c r="O453" t="s">
        <v>74</v>
      </c>
      <c r="P453" t="s">
        <v>74</v>
      </c>
      <c r="Q453" t="s">
        <v>74</v>
      </c>
      <c r="R453" t="s">
        <v>74</v>
      </c>
      <c r="S453" t="s">
        <v>74</v>
      </c>
      <c r="T453" t="s">
        <v>74</v>
      </c>
      <c r="U453" t="s">
        <v>6863</v>
      </c>
      <c r="V453" t="s">
        <v>6864</v>
      </c>
      <c r="W453" t="s">
        <v>6865</v>
      </c>
      <c r="X453" t="s">
        <v>128</v>
      </c>
      <c r="Y453" t="s">
        <v>6866</v>
      </c>
      <c r="Z453" t="s">
        <v>6015</v>
      </c>
      <c r="AA453" t="s">
        <v>74</v>
      </c>
      <c r="AB453" t="s">
        <v>74</v>
      </c>
      <c r="AC453" t="s">
        <v>74</v>
      </c>
      <c r="AD453" t="s">
        <v>74</v>
      </c>
      <c r="AE453" t="s">
        <v>74</v>
      </c>
      <c r="AF453" t="s">
        <v>74</v>
      </c>
      <c r="AG453">
        <v>43</v>
      </c>
      <c r="AH453">
        <v>14</v>
      </c>
      <c r="AI453">
        <v>15</v>
      </c>
      <c r="AJ453">
        <v>0</v>
      </c>
      <c r="AK453">
        <v>8</v>
      </c>
      <c r="AL453" t="s">
        <v>133</v>
      </c>
      <c r="AM453" t="s">
        <v>134</v>
      </c>
      <c r="AN453" t="s">
        <v>155</v>
      </c>
      <c r="AO453" t="s">
        <v>136</v>
      </c>
      <c r="AP453" t="s">
        <v>156</v>
      </c>
      <c r="AQ453" t="s">
        <v>74</v>
      </c>
      <c r="AR453" t="s">
        <v>137</v>
      </c>
      <c r="AS453" t="s">
        <v>138</v>
      </c>
      <c r="AT453" t="s">
        <v>5640</v>
      </c>
      <c r="AU453">
        <v>2005</v>
      </c>
      <c r="AV453">
        <v>28</v>
      </c>
      <c r="AW453">
        <v>4</v>
      </c>
      <c r="AX453" t="s">
        <v>74</v>
      </c>
      <c r="AY453" t="s">
        <v>74</v>
      </c>
      <c r="AZ453" t="s">
        <v>74</v>
      </c>
      <c r="BA453" t="s">
        <v>74</v>
      </c>
      <c r="BB453">
        <v>290</v>
      </c>
      <c r="BC453">
        <v>302</v>
      </c>
      <c r="BD453" t="s">
        <v>74</v>
      </c>
      <c r="BE453" t="s">
        <v>6867</v>
      </c>
      <c r="BF453" t="str">
        <f>HYPERLINK("http://dx.doi.org/10.1007/s00300-004-0687-0","http://dx.doi.org/10.1007/s00300-004-0687-0")</f>
        <v>http://dx.doi.org/10.1007/s00300-004-0687-0</v>
      </c>
      <c r="BG453" t="s">
        <v>74</v>
      </c>
      <c r="BH453" t="s">
        <v>74</v>
      </c>
      <c r="BI453">
        <v>13</v>
      </c>
      <c r="BJ453" t="s">
        <v>140</v>
      </c>
      <c r="BK453" t="s">
        <v>95</v>
      </c>
      <c r="BL453" t="s">
        <v>141</v>
      </c>
      <c r="BM453" t="s">
        <v>6829</v>
      </c>
      <c r="BN453" t="s">
        <v>74</v>
      </c>
      <c r="BO453" t="s">
        <v>3116</v>
      </c>
      <c r="BP453" t="s">
        <v>74</v>
      </c>
      <c r="BQ453" t="s">
        <v>74</v>
      </c>
      <c r="BR453" t="s">
        <v>97</v>
      </c>
      <c r="BS453" t="s">
        <v>6868</v>
      </c>
      <c r="BT453" t="str">
        <f>HYPERLINK("https%3A%2F%2Fwww.webofscience.com%2Fwos%2Fwoscc%2Ffull-record%2FWOS:000227552000006","View Full Record in Web of Science")</f>
        <v>View Full Record in Web of Science</v>
      </c>
    </row>
    <row r="454" spans="1:72" x14ac:dyDescent="0.15">
      <c r="A454" t="s">
        <v>72</v>
      </c>
      <c r="B454" t="s">
        <v>6869</v>
      </c>
      <c r="C454" t="s">
        <v>74</v>
      </c>
      <c r="D454" t="s">
        <v>74</v>
      </c>
      <c r="E454" t="s">
        <v>74</v>
      </c>
      <c r="F454" t="s">
        <v>6869</v>
      </c>
      <c r="G454" t="s">
        <v>74</v>
      </c>
      <c r="H454" t="s">
        <v>74</v>
      </c>
      <c r="I454" t="s">
        <v>6870</v>
      </c>
      <c r="J454" t="s">
        <v>124</v>
      </c>
      <c r="K454" t="s">
        <v>74</v>
      </c>
      <c r="L454" t="s">
        <v>74</v>
      </c>
      <c r="M454" t="s">
        <v>77</v>
      </c>
      <c r="N454" t="s">
        <v>78</v>
      </c>
      <c r="O454" t="s">
        <v>74</v>
      </c>
      <c r="P454" t="s">
        <v>74</v>
      </c>
      <c r="Q454" t="s">
        <v>74</v>
      </c>
      <c r="R454" t="s">
        <v>74</v>
      </c>
      <c r="S454" t="s">
        <v>74</v>
      </c>
      <c r="T454" t="s">
        <v>74</v>
      </c>
      <c r="U454" t="s">
        <v>6871</v>
      </c>
      <c r="V454" t="s">
        <v>6872</v>
      </c>
      <c r="W454" t="s">
        <v>6873</v>
      </c>
      <c r="X454" t="s">
        <v>6874</v>
      </c>
      <c r="Y454" t="s">
        <v>6875</v>
      </c>
      <c r="Z454" t="s">
        <v>6876</v>
      </c>
      <c r="AA454" t="s">
        <v>5710</v>
      </c>
      <c r="AB454" t="s">
        <v>5711</v>
      </c>
      <c r="AC454" t="s">
        <v>74</v>
      </c>
      <c r="AD454" t="s">
        <v>74</v>
      </c>
      <c r="AE454" t="s">
        <v>74</v>
      </c>
      <c r="AF454" t="s">
        <v>74</v>
      </c>
      <c r="AG454">
        <v>24</v>
      </c>
      <c r="AH454">
        <v>26</v>
      </c>
      <c r="AI454">
        <v>30</v>
      </c>
      <c r="AJ454">
        <v>1</v>
      </c>
      <c r="AK454">
        <v>9</v>
      </c>
      <c r="AL454" t="s">
        <v>133</v>
      </c>
      <c r="AM454" t="s">
        <v>134</v>
      </c>
      <c r="AN454" t="s">
        <v>135</v>
      </c>
      <c r="AO454" t="s">
        <v>136</v>
      </c>
      <c r="AP454" t="s">
        <v>74</v>
      </c>
      <c r="AQ454" t="s">
        <v>74</v>
      </c>
      <c r="AR454" t="s">
        <v>137</v>
      </c>
      <c r="AS454" t="s">
        <v>138</v>
      </c>
      <c r="AT454" t="s">
        <v>5640</v>
      </c>
      <c r="AU454">
        <v>2005</v>
      </c>
      <c r="AV454">
        <v>28</v>
      </c>
      <c r="AW454">
        <v>4</v>
      </c>
      <c r="AX454" t="s">
        <v>74</v>
      </c>
      <c r="AY454" t="s">
        <v>74</v>
      </c>
      <c r="AZ454" t="s">
        <v>74</v>
      </c>
      <c r="BA454" t="s">
        <v>74</v>
      </c>
      <c r="BB454">
        <v>319</v>
      </c>
      <c r="BC454">
        <v>325</v>
      </c>
      <c r="BD454" t="s">
        <v>74</v>
      </c>
      <c r="BE454" t="s">
        <v>6877</v>
      </c>
      <c r="BF454" t="str">
        <f>HYPERLINK("http://dx.doi.org/10.1007/s00300-004-0673-6","http://dx.doi.org/10.1007/s00300-004-0673-6")</f>
        <v>http://dx.doi.org/10.1007/s00300-004-0673-6</v>
      </c>
      <c r="BG454" t="s">
        <v>74</v>
      </c>
      <c r="BH454" t="s">
        <v>74</v>
      </c>
      <c r="BI454">
        <v>7</v>
      </c>
      <c r="BJ454" t="s">
        <v>140</v>
      </c>
      <c r="BK454" t="s">
        <v>95</v>
      </c>
      <c r="BL454" t="s">
        <v>141</v>
      </c>
      <c r="BM454" t="s">
        <v>6829</v>
      </c>
      <c r="BN454" t="s">
        <v>74</v>
      </c>
      <c r="BO454" t="s">
        <v>74</v>
      </c>
      <c r="BP454" t="s">
        <v>74</v>
      </c>
      <c r="BQ454" t="s">
        <v>74</v>
      </c>
      <c r="BR454" t="s">
        <v>97</v>
      </c>
      <c r="BS454" t="s">
        <v>6878</v>
      </c>
      <c r="BT454" t="str">
        <f>HYPERLINK("https%3A%2F%2Fwww.webofscience.com%2Fwos%2Fwoscc%2Ffull-record%2FWOS:000227552000009","View Full Record in Web of Science")</f>
        <v>View Full Record in Web of Science</v>
      </c>
    </row>
    <row r="455" spans="1:72" x14ac:dyDescent="0.15">
      <c r="A455" t="s">
        <v>72</v>
      </c>
      <c r="B455" t="s">
        <v>6879</v>
      </c>
      <c r="C455" t="s">
        <v>74</v>
      </c>
      <c r="D455" t="s">
        <v>74</v>
      </c>
      <c r="E455" t="s">
        <v>74</v>
      </c>
      <c r="F455" t="s">
        <v>6879</v>
      </c>
      <c r="G455" t="s">
        <v>74</v>
      </c>
      <c r="H455" t="s">
        <v>74</v>
      </c>
      <c r="I455" t="s">
        <v>6880</v>
      </c>
      <c r="J455" t="s">
        <v>124</v>
      </c>
      <c r="K455" t="s">
        <v>74</v>
      </c>
      <c r="L455" t="s">
        <v>74</v>
      </c>
      <c r="M455" t="s">
        <v>77</v>
      </c>
      <c r="N455" t="s">
        <v>78</v>
      </c>
      <c r="O455" t="s">
        <v>74</v>
      </c>
      <c r="P455" t="s">
        <v>74</v>
      </c>
      <c r="Q455" t="s">
        <v>74</v>
      </c>
      <c r="R455" t="s">
        <v>74</v>
      </c>
      <c r="S455" t="s">
        <v>74</v>
      </c>
      <c r="T455" t="s">
        <v>74</v>
      </c>
      <c r="U455" t="s">
        <v>6881</v>
      </c>
      <c r="V455" t="s">
        <v>6882</v>
      </c>
      <c r="W455" t="s">
        <v>6883</v>
      </c>
      <c r="X455" t="s">
        <v>5023</v>
      </c>
      <c r="Y455" t="s">
        <v>6884</v>
      </c>
      <c r="Z455" t="s">
        <v>6885</v>
      </c>
      <c r="AA455" t="s">
        <v>6886</v>
      </c>
      <c r="AB455" t="s">
        <v>6887</v>
      </c>
      <c r="AC455" t="s">
        <v>74</v>
      </c>
      <c r="AD455" t="s">
        <v>74</v>
      </c>
      <c r="AE455" t="s">
        <v>74</v>
      </c>
      <c r="AF455" t="s">
        <v>74</v>
      </c>
      <c r="AG455">
        <v>17</v>
      </c>
      <c r="AH455">
        <v>0</v>
      </c>
      <c r="AI455">
        <v>0</v>
      </c>
      <c r="AJ455">
        <v>0</v>
      </c>
      <c r="AK455">
        <v>2</v>
      </c>
      <c r="AL455" t="s">
        <v>133</v>
      </c>
      <c r="AM455" t="s">
        <v>134</v>
      </c>
      <c r="AN455" t="s">
        <v>135</v>
      </c>
      <c r="AO455" t="s">
        <v>136</v>
      </c>
      <c r="AP455" t="s">
        <v>74</v>
      </c>
      <c r="AQ455" t="s">
        <v>74</v>
      </c>
      <c r="AR455" t="s">
        <v>137</v>
      </c>
      <c r="AS455" t="s">
        <v>138</v>
      </c>
      <c r="AT455" t="s">
        <v>5640</v>
      </c>
      <c r="AU455">
        <v>2005</v>
      </c>
      <c r="AV455">
        <v>28</v>
      </c>
      <c r="AW455">
        <v>4</v>
      </c>
      <c r="AX455" t="s">
        <v>74</v>
      </c>
      <c r="AY455" t="s">
        <v>74</v>
      </c>
      <c r="AZ455" t="s">
        <v>74</v>
      </c>
      <c r="BA455" t="s">
        <v>74</v>
      </c>
      <c r="BB455">
        <v>326</v>
      </c>
      <c r="BC455">
        <v>328</v>
      </c>
      <c r="BD455" t="s">
        <v>74</v>
      </c>
      <c r="BE455" t="s">
        <v>6888</v>
      </c>
      <c r="BF455" t="str">
        <f>HYPERLINK("http://dx.doi.org/10.1007/s00300-004-0704-3","http://dx.doi.org/10.1007/s00300-004-0704-3")</f>
        <v>http://dx.doi.org/10.1007/s00300-004-0704-3</v>
      </c>
      <c r="BG455" t="s">
        <v>74</v>
      </c>
      <c r="BH455" t="s">
        <v>74</v>
      </c>
      <c r="BI455">
        <v>3</v>
      </c>
      <c r="BJ455" t="s">
        <v>140</v>
      </c>
      <c r="BK455" t="s">
        <v>95</v>
      </c>
      <c r="BL455" t="s">
        <v>141</v>
      </c>
      <c r="BM455" t="s">
        <v>6829</v>
      </c>
      <c r="BN455" t="s">
        <v>74</v>
      </c>
      <c r="BO455" t="s">
        <v>74</v>
      </c>
      <c r="BP455" t="s">
        <v>74</v>
      </c>
      <c r="BQ455" t="s">
        <v>74</v>
      </c>
      <c r="BR455" t="s">
        <v>97</v>
      </c>
      <c r="BS455" t="s">
        <v>6889</v>
      </c>
      <c r="BT455" t="str">
        <f>HYPERLINK("https%3A%2F%2Fwww.webofscience.com%2Fwos%2Fwoscc%2Ffull-record%2FWOS:000227552000010","View Full Record in Web of Science")</f>
        <v>View Full Record in Web of Science</v>
      </c>
    </row>
    <row r="456" spans="1:72" x14ac:dyDescent="0.15">
      <c r="A456" t="s">
        <v>72</v>
      </c>
      <c r="B456" t="s">
        <v>6890</v>
      </c>
      <c r="C456" t="s">
        <v>74</v>
      </c>
      <c r="D456" t="s">
        <v>74</v>
      </c>
      <c r="E456" t="s">
        <v>74</v>
      </c>
      <c r="F456" t="s">
        <v>6890</v>
      </c>
      <c r="G456" t="s">
        <v>74</v>
      </c>
      <c r="H456" t="s">
        <v>74</v>
      </c>
      <c r="I456" t="s">
        <v>6891</v>
      </c>
      <c r="J456" t="s">
        <v>124</v>
      </c>
      <c r="K456" t="s">
        <v>74</v>
      </c>
      <c r="L456" t="s">
        <v>74</v>
      </c>
      <c r="M456" t="s">
        <v>77</v>
      </c>
      <c r="N456" t="s">
        <v>78</v>
      </c>
      <c r="O456" t="s">
        <v>74</v>
      </c>
      <c r="P456" t="s">
        <v>74</v>
      </c>
      <c r="Q456" t="s">
        <v>74</v>
      </c>
      <c r="R456" t="s">
        <v>74</v>
      </c>
      <c r="S456" t="s">
        <v>74</v>
      </c>
      <c r="T456" t="s">
        <v>74</v>
      </c>
      <c r="U456" t="s">
        <v>6892</v>
      </c>
      <c r="V456" t="s">
        <v>6893</v>
      </c>
      <c r="W456" t="s">
        <v>6894</v>
      </c>
      <c r="X456" t="s">
        <v>6895</v>
      </c>
      <c r="Y456" t="s">
        <v>6896</v>
      </c>
      <c r="Z456" t="s">
        <v>6897</v>
      </c>
      <c r="AA456" t="s">
        <v>74</v>
      </c>
      <c r="AB456" t="s">
        <v>74</v>
      </c>
      <c r="AC456" t="s">
        <v>74</v>
      </c>
      <c r="AD456" t="s">
        <v>74</v>
      </c>
      <c r="AE456" t="s">
        <v>74</v>
      </c>
      <c r="AF456" t="s">
        <v>74</v>
      </c>
      <c r="AG456">
        <v>17</v>
      </c>
      <c r="AH456">
        <v>14</v>
      </c>
      <c r="AI456">
        <v>16</v>
      </c>
      <c r="AJ456">
        <v>1</v>
      </c>
      <c r="AK456">
        <v>6</v>
      </c>
      <c r="AL456" t="s">
        <v>133</v>
      </c>
      <c r="AM456" t="s">
        <v>134</v>
      </c>
      <c r="AN456" t="s">
        <v>155</v>
      </c>
      <c r="AO456" t="s">
        <v>136</v>
      </c>
      <c r="AP456" t="s">
        <v>74</v>
      </c>
      <c r="AQ456" t="s">
        <v>74</v>
      </c>
      <c r="AR456" t="s">
        <v>137</v>
      </c>
      <c r="AS456" t="s">
        <v>138</v>
      </c>
      <c r="AT456" t="s">
        <v>5640</v>
      </c>
      <c r="AU456">
        <v>2005</v>
      </c>
      <c r="AV456">
        <v>28</v>
      </c>
      <c r="AW456">
        <v>4</v>
      </c>
      <c r="AX456" t="s">
        <v>74</v>
      </c>
      <c r="AY456" t="s">
        <v>74</v>
      </c>
      <c r="AZ456" t="s">
        <v>74</v>
      </c>
      <c r="BA456" t="s">
        <v>74</v>
      </c>
      <c r="BB456">
        <v>329</v>
      </c>
      <c r="BC456">
        <v>333</v>
      </c>
      <c r="BD456" t="s">
        <v>74</v>
      </c>
      <c r="BE456" t="s">
        <v>6898</v>
      </c>
      <c r="BF456" t="str">
        <f>HYPERLINK("http://dx.doi.org/10.1007/s00300-004-0693-2","http://dx.doi.org/10.1007/s00300-004-0693-2")</f>
        <v>http://dx.doi.org/10.1007/s00300-004-0693-2</v>
      </c>
      <c r="BG456" t="s">
        <v>74</v>
      </c>
      <c r="BH456" t="s">
        <v>74</v>
      </c>
      <c r="BI456">
        <v>5</v>
      </c>
      <c r="BJ456" t="s">
        <v>140</v>
      </c>
      <c r="BK456" t="s">
        <v>95</v>
      </c>
      <c r="BL456" t="s">
        <v>141</v>
      </c>
      <c r="BM456" t="s">
        <v>6829</v>
      </c>
      <c r="BN456" t="s">
        <v>74</v>
      </c>
      <c r="BO456" t="s">
        <v>74</v>
      </c>
      <c r="BP456" t="s">
        <v>74</v>
      </c>
      <c r="BQ456" t="s">
        <v>74</v>
      </c>
      <c r="BR456" t="s">
        <v>97</v>
      </c>
      <c r="BS456" t="s">
        <v>6899</v>
      </c>
      <c r="BT456" t="str">
        <f>HYPERLINK("https%3A%2F%2Fwww.webofscience.com%2Fwos%2Fwoscc%2Ffull-record%2FWOS:000227552000011","View Full Record in Web of Science")</f>
        <v>View Full Record in Web of Science</v>
      </c>
    </row>
    <row r="457" spans="1:72" x14ac:dyDescent="0.15">
      <c r="A457" t="s">
        <v>72</v>
      </c>
      <c r="B457" t="s">
        <v>6900</v>
      </c>
      <c r="C457" t="s">
        <v>74</v>
      </c>
      <c r="D457" t="s">
        <v>74</v>
      </c>
      <c r="E457" t="s">
        <v>74</v>
      </c>
      <c r="F457" t="s">
        <v>6900</v>
      </c>
      <c r="G457" t="s">
        <v>74</v>
      </c>
      <c r="H457" t="s">
        <v>74</v>
      </c>
      <c r="I457" t="s">
        <v>6901</v>
      </c>
      <c r="J457" t="s">
        <v>124</v>
      </c>
      <c r="K457" t="s">
        <v>74</v>
      </c>
      <c r="L457" t="s">
        <v>74</v>
      </c>
      <c r="M457" t="s">
        <v>77</v>
      </c>
      <c r="N457" t="s">
        <v>78</v>
      </c>
      <c r="O457" t="s">
        <v>74</v>
      </c>
      <c r="P457" t="s">
        <v>74</v>
      </c>
      <c r="Q457" t="s">
        <v>74</v>
      </c>
      <c r="R457" t="s">
        <v>74</v>
      </c>
      <c r="S457" t="s">
        <v>74</v>
      </c>
      <c r="T457" t="s">
        <v>74</v>
      </c>
      <c r="U457" t="s">
        <v>6902</v>
      </c>
      <c r="V457" t="s">
        <v>6903</v>
      </c>
      <c r="W457" t="s">
        <v>6904</v>
      </c>
      <c r="X457" t="s">
        <v>6905</v>
      </c>
      <c r="Y457" t="s">
        <v>6906</v>
      </c>
      <c r="Z457" t="s">
        <v>6015</v>
      </c>
      <c r="AA457" t="s">
        <v>74</v>
      </c>
      <c r="AB457" t="s">
        <v>74</v>
      </c>
      <c r="AC457" t="s">
        <v>74</v>
      </c>
      <c r="AD457" t="s">
        <v>74</v>
      </c>
      <c r="AE457" t="s">
        <v>74</v>
      </c>
      <c r="AF457" t="s">
        <v>74</v>
      </c>
      <c r="AG457">
        <v>16</v>
      </c>
      <c r="AH457">
        <v>13</v>
      </c>
      <c r="AI457">
        <v>15</v>
      </c>
      <c r="AJ457">
        <v>0</v>
      </c>
      <c r="AK457">
        <v>10</v>
      </c>
      <c r="AL457" t="s">
        <v>133</v>
      </c>
      <c r="AM457" t="s">
        <v>134</v>
      </c>
      <c r="AN457" t="s">
        <v>155</v>
      </c>
      <c r="AO457" t="s">
        <v>136</v>
      </c>
      <c r="AP457" t="s">
        <v>74</v>
      </c>
      <c r="AQ457" t="s">
        <v>74</v>
      </c>
      <c r="AR457" t="s">
        <v>137</v>
      </c>
      <c r="AS457" t="s">
        <v>138</v>
      </c>
      <c r="AT457" t="s">
        <v>5640</v>
      </c>
      <c r="AU457">
        <v>2005</v>
      </c>
      <c r="AV457">
        <v>28</v>
      </c>
      <c r="AW457">
        <v>4</v>
      </c>
      <c r="AX457" t="s">
        <v>74</v>
      </c>
      <c r="AY457" t="s">
        <v>74</v>
      </c>
      <c r="AZ457" t="s">
        <v>74</v>
      </c>
      <c r="BA457" t="s">
        <v>74</v>
      </c>
      <c r="BB457">
        <v>334</v>
      </c>
      <c r="BC457">
        <v>337</v>
      </c>
      <c r="BD457" t="s">
        <v>74</v>
      </c>
      <c r="BE457" t="s">
        <v>6907</v>
      </c>
      <c r="BF457" t="str">
        <f>HYPERLINK("http://dx.doi.org/10.1007/s00300-004-0686-1","http://dx.doi.org/10.1007/s00300-004-0686-1")</f>
        <v>http://dx.doi.org/10.1007/s00300-004-0686-1</v>
      </c>
      <c r="BG457" t="s">
        <v>74</v>
      </c>
      <c r="BH457" t="s">
        <v>74</v>
      </c>
      <c r="BI457">
        <v>4</v>
      </c>
      <c r="BJ457" t="s">
        <v>140</v>
      </c>
      <c r="BK457" t="s">
        <v>95</v>
      </c>
      <c r="BL457" t="s">
        <v>141</v>
      </c>
      <c r="BM457" t="s">
        <v>6829</v>
      </c>
      <c r="BN457" t="s">
        <v>74</v>
      </c>
      <c r="BO457" t="s">
        <v>6908</v>
      </c>
      <c r="BP457" t="s">
        <v>74</v>
      </c>
      <c r="BQ457" t="s">
        <v>74</v>
      </c>
      <c r="BR457" t="s">
        <v>97</v>
      </c>
      <c r="BS457" t="s">
        <v>6909</v>
      </c>
      <c r="BT457" t="str">
        <f>HYPERLINK("https%3A%2F%2Fwww.webofscience.com%2Fwos%2Fwoscc%2Ffull-record%2FWOS:000227552000012","View Full Record in Web of Science")</f>
        <v>View Full Record in Web of Science</v>
      </c>
    </row>
    <row r="458" spans="1:72" x14ac:dyDescent="0.15">
      <c r="A458" t="s">
        <v>72</v>
      </c>
      <c r="B458" t="s">
        <v>6910</v>
      </c>
      <c r="C458" t="s">
        <v>74</v>
      </c>
      <c r="D458" t="s">
        <v>74</v>
      </c>
      <c r="E458" t="s">
        <v>74</v>
      </c>
      <c r="F458" t="s">
        <v>6910</v>
      </c>
      <c r="G458" t="s">
        <v>74</v>
      </c>
      <c r="H458" t="s">
        <v>74</v>
      </c>
      <c r="I458" t="s">
        <v>6911</v>
      </c>
      <c r="J458" t="s">
        <v>6912</v>
      </c>
      <c r="K458" t="s">
        <v>74</v>
      </c>
      <c r="L458" t="s">
        <v>74</v>
      </c>
      <c r="M458" t="s">
        <v>77</v>
      </c>
      <c r="N458" t="s">
        <v>78</v>
      </c>
      <c r="O458" t="s">
        <v>74</v>
      </c>
      <c r="P458" t="s">
        <v>74</v>
      </c>
      <c r="Q458" t="s">
        <v>74</v>
      </c>
      <c r="R458" t="s">
        <v>74</v>
      </c>
      <c r="S458" t="s">
        <v>74</v>
      </c>
      <c r="T458" t="s">
        <v>74</v>
      </c>
      <c r="U458" t="s">
        <v>6913</v>
      </c>
      <c r="V458" t="s">
        <v>6914</v>
      </c>
      <c r="W458" t="s">
        <v>6915</v>
      </c>
      <c r="X458" t="s">
        <v>6916</v>
      </c>
      <c r="Y458" t="s">
        <v>6917</v>
      </c>
      <c r="Z458" t="s">
        <v>6918</v>
      </c>
      <c r="AA458" t="s">
        <v>74</v>
      </c>
      <c r="AB458" t="s">
        <v>74</v>
      </c>
      <c r="AC458" t="s">
        <v>74</v>
      </c>
      <c r="AD458" t="s">
        <v>74</v>
      </c>
      <c r="AE458" t="s">
        <v>74</v>
      </c>
      <c r="AF458" t="s">
        <v>74</v>
      </c>
      <c r="AG458">
        <v>17</v>
      </c>
      <c r="AH458">
        <v>61</v>
      </c>
      <c r="AI458">
        <v>68</v>
      </c>
      <c r="AJ458">
        <v>0</v>
      </c>
      <c r="AK458">
        <v>1</v>
      </c>
      <c r="AL458" t="s">
        <v>2503</v>
      </c>
      <c r="AM458" t="s">
        <v>1911</v>
      </c>
      <c r="AN458" t="s">
        <v>2504</v>
      </c>
      <c r="AO458" t="s">
        <v>6919</v>
      </c>
      <c r="AP458" t="s">
        <v>6920</v>
      </c>
      <c r="AQ458" t="s">
        <v>74</v>
      </c>
      <c r="AR458" t="s">
        <v>6921</v>
      </c>
      <c r="AS458" t="s">
        <v>6922</v>
      </c>
      <c r="AT458" t="s">
        <v>5640</v>
      </c>
      <c r="AU458">
        <v>2005</v>
      </c>
      <c r="AV458">
        <v>117</v>
      </c>
      <c r="AW458">
        <v>829</v>
      </c>
      <c r="AX458" t="s">
        <v>74</v>
      </c>
      <c r="AY458" t="s">
        <v>74</v>
      </c>
      <c r="AZ458" t="s">
        <v>74</v>
      </c>
      <c r="BA458" t="s">
        <v>74</v>
      </c>
      <c r="BB458">
        <v>300</v>
      </c>
      <c r="BC458">
        <v>308</v>
      </c>
      <c r="BD458" t="s">
        <v>74</v>
      </c>
      <c r="BE458" t="s">
        <v>6923</v>
      </c>
      <c r="BF458" t="str">
        <f>HYPERLINK("http://dx.doi.org/10.1086/427988","http://dx.doi.org/10.1086/427988")</f>
        <v>http://dx.doi.org/10.1086/427988</v>
      </c>
      <c r="BG458" t="s">
        <v>74</v>
      </c>
      <c r="BH458" t="s">
        <v>74</v>
      </c>
      <c r="BI458">
        <v>9</v>
      </c>
      <c r="BJ458" t="s">
        <v>853</v>
      </c>
      <c r="BK458" t="s">
        <v>95</v>
      </c>
      <c r="BL458" t="s">
        <v>853</v>
      </c>
      <c r="BM458" t="s">
        <v>6924</v>
      </c>
      <c r="BN458" t="s">
        <v>74</v>
      </c>
      <c r="BO458" t="s">
        <v>539</v>
      </c>
      <c r="BP458" t="s">
        <v>74</v>
      </c>
      <c r="BQ458" t="s">
        <v>74</v>
      </c>
      <c r="BR458" t="s">
        <v>97</v>
      </c>
      <c r="BS458" t="s">
        <v>6925</v>
      </c>
      <c r="BT458" t="str">
        <f>HYPERLINK("https%3A%2F%2Fwww.webofscience.com%2Fwos%2Fwoscc%2Ffull-record%2FWOS:000227623600011","View Full Record in Web of Science")</f>
        <v>View Full Record in Web of Science</v>
      </c>
    </row>
    <row r="459" spans="1:72" x14ac:dyDescent="0.15">
      <c r="A459" t="s">
        <v>72</v>
      </c>
      <c r="B459" t="s">
        <v>6926</v>
      </c>
      <c r="C459" t="s">
        <v>74</v>
      </c>
      <c r="D459" t="s">
        <v>74</v>
      </c>
      <c r="E459" t="s">
        <v>74</v>
      </c>
      <c r="F459" t="s">
        <v>6926</v>
      </c>
      <c r="G459" t="s">
        <v>74</v>
      </c>
      <c r="H459" t="s">
        <v>74</v>
      </c>
      <c r="I459" t="s">
        <v>6927</v>
      </c>
      <c r="J459" t="s">
        <v>248</v>
      </c>
      <c r="K459" t="s">
        <v>74</v>
      </c>
      <c r="L459" t="s">
        <v>74</v>
      </c>
      <c r="M459" t="s">
        <v>77</v>
      </c>
      <c r="N459" t="s">
        <v>78</v>
      </c>
      <c r="O459" t="s">
        <v>74</v>
      </c>
      <c r="P459" t="s">
        <v>74</v>
      </c>
      <c r="Q459" t="s">
        <v>74</v>
      </c>
      <c r="R459" t="s">
        <v>74</v>
      </c>
      <c r="S459" t="s">
        <v>74</v>
      </c>
      <c r="T459" t="s">
        <v>74</v>
      </c>
      <c r="U459" t="s">
        <v>6928</v>
      </c>
      <c r="V459" t="s">
        <v>6929</v>
      </c>
      <c r="W459" t="s">
        <v>6930</v>
      </c>
      <c r="X459" t="s">
        <v>6931</v>
      </c>
      <c r="Y459" t="s">
        <v>6932</v>
      </c>
      <c r="Z459" t="s">
        <v>6933</v>
      </c>
      <c r="AA459" t="s">
        <v>6934</v>
      </c>
      <c r="AB459" t="s">
        <v>6935</v>
      </c>
      <c r="AC459" t="s">
        <v>6936</v>
      </c>
      <c r="AD459" t="s">
        <v>2639</v>
      </c>
      <c r="AE459" t="s">
        <v>74</v>
      </c>
      <c r="AF459" t="s">
        <v>74</v>
      </c>
      <c r="AG459">
        <v>88</v>
      </c>
      <c r="AH459">
        <v>249</v>
      </c>
      <c r="AI459">
        <v>257</v>
      </c>
      <c r="AJ459">
        <v>0</v>
      </c>
      <c r="AK459">
        <v>17</v>
      </c>
      <c r="AL459" t="s">
        <v>255</v>
      </c>
      <c r="AM459" t="s">
        <v>256</v>
      </c>
      <c r="AN459" t="s">
        <v>257</v>
      </c>
      <c r="AO459" t="s">
        <v>258</v>
      </c>
      <c r="AP459" t="s">
        <v>74</v>
      </c>
      <c r="AQ459" t="s">
        <v>74</v>
      </c>
      <c r="AR459" t="s">
        <v>259</v>
      </c>
      <c r="AS459" t="s">
        <v>260</v>
      </c>
      <c r="AT459" t="s">
        <v>5640</v>
      </c>
      <c r="AU459">
        <v>2005</v>
      </c>
      <c r="AV459">
        <v>24</v>
      </c>
      <c r="AW459" t="s">
        <v>4012</v>
      </c>
      <c r="AX459" t="s">
        <v>74</v>
      </c>
      <c r="AY459" t="s">
        <v>74</v>
      </c>
      <c r="AZ459" t="s">
        <v>74</v>
      </c>
      <c r="BA459" t="s">
        <v>74</v>
      </c>
      <c r="BB459">
        <v>709</v>
      </c>
      <c r="BC459">
        <v>740</v>
      </c>
      <c r="BD459" t="s">
        <v>74</v>
      </c>
      <c r="BE459" t="s">
        <v>6937</v>
      </c>
      <c r="BF459" t="str">
        <f>HYPERLINK("http://dx.doi.org/10.1016/j.quascirev.2004.10.006","http://dx.doi.org/10.1016/j.quascirev.2004.10.006")</f>
        <v>http://dx.doi.org/10.1016/j.quascirev.2004.10.006</v>
      </c>
      <c r="BG459" t="s">
        <v>74</v>
      </c>
      <c r="BH459" t="s">
        <v>74</v>
      </c>
      <c r="BI459">
        <v>32</v>
      </c>
      <c r="BJ459" t="s">
        <v>242</v>
      </c>
      <c r="BK459" t="s">
        <v>95</v>
      </c>
      <c r="BL459" t="s">
        <v>243</v>
      </c>
      <c r="BM459" t="s">
        <v>6938</v>
      </c>
      <c r="BN459" t="s">
        <v>74</v>
      </c>
      <c r="BO459" t="s">
        <v>74</v>
      </c>
      <c r="BP459" t="s">
        <v>74</v>
      </c>
      <c r="BQ459" t="s">
        <v>74</v>
      </c>
      <c r="BR459" t="s">
        <v>97</v>
      </c>
      <c r="BS459" t="s">
        <v>6939</v>
      </c>
      <c r="BT459" t="str">
        <f>HYPERLINK("https%3A%2F%2Fwww.webofscience.com%2Fwos%2Fwoscc%2Ffull-record%2FWOS:000227777800011","View Full Record in Web of Science")</f>
        <v>View Full Record in Web of Science</v>
      </c>
    </row>
    <row r="460" spans="1:72" x14ac:dyDescent="0.15">
      <c r="A460" t="s">
        <v>72</v>
      </c>
      <c r="B460" t="s">
        <v>6940</v>
      </c>
      <c r="C460" t="s">
        <v>74</v>
      </c>
      <c r="D460" t="s">
        <v>74</v>
      </c>
      <c r="E460" t="s">
        <v>74</v>
      </c>
      <c r="F460" t="s">
        <v>6940</v>
      </c>
      <c r="G460" t="s">
        <v>74</v>
      </c>
      <c r="H460" t="s">
        <v>74</v>
      </c>
      <c r="I460" t="s">
        <v>6941</v>
      </c>
      <c r="J460" t="s">
        <v>248</v>
      </c>
      <c r="K460" t="s">
        <v>74</v>
      </c>
      <c r="L460" t="s">
        <v>74</v>
      </c>
      <c r="M460" t="s">
        <v>77</v>
      </c>
      <c r="N460" t="s">
        <v>365</v>
      </c>
      <c r="O460" t="s">
        <v>74</v>
      </c>
      <c r="P460" t="s">
        <v>74</v>
      </c>
      <c r="Q460" t="s">
        <v>74</v>
      </c>
      <c r="R460" t="s">
        <v>74</v>
      </c>
      <c r="S460" t="s">
        <v>74</v>
      </c>
      <c r="T460" t="s">
        <v>74</v>
      </c>
      <c r="U460" t="s">
        <v>6942</v>
      </c>
      <c r="V460" t="s">
        <v>6943</v>
      </c>
      <c r="W460" t="s">
        <v>6944</v>
      </c>
      <c r="X460" t="s">
        <v>6945</v>
      </c>
      <c r="Y460" t="s">
        <v>2952</v>
      </c>
      <c r="Z460" t="s">
        <v>6946</v>
      </c>
      <c r="AA460" t="s">
        <v>6947</v>
      </c>
      <c r="AB460" t="s">
        <v>74</v>
      </c>
      <c r="AC460" t="s">
        <v>74</v>
      </c>
      <c r="AD460" t="s">
        <v>74</v>
      </c>
      <c r="AE460" t="s">
        <v>74</v>
      </c>
      <c r="AF460" t="s">
        <v>74</v>
      </c>
      <c r="AG460">
        <v>102</v>
      </c>
      <c r="AH460">
        <v>134</v>
      </c>
      <c r="AI460">
        <v>149</v>
      </c>
      <c r="AJ460">
        <v>1</v>
      </c>
      <c r="AK460">
        <v>19</v>
      </c>
      <c r="AL460" t="s">
        <v>255</v>
      </c>
      <c r="AM460" t="s">
        <v>256</v>
      </c>
      <c r="AN460" t="s">
        <v>257</v>
      </c>
      <c r="AO460" t="s">
        <v>258</v>
      </c>
      <c r="AP460" t="s">
        <v>74</v>
      </c>
      <c r="AQ460" t="s">
        <v>74</v>
      </c>
      <c r="AR460" t="s">
        <v>259</v>
      </c>
      <c r="AS460" t="s">
        <v>260</v>
      </c>
      <c r="AT460" t="s">
        <v>5640</v>
      </c>
      <c r="AU460">
        <v>2005</v>
      </c>
      <c r="AV460">
        <v>24</v>
      </c>
      <c r="AW460" t="s">
        <v>4012</v>
      </c>
      <c r="AX460" t="s">
        <v>74</v>
      </c>
      <c r="AY460" t="s">
        <v>74</v>
      </c>
      <c r="AZ460" t="s">
        <v>74</v>
      </c>
      <c r="BA460" t="s">
        <v>74</v>
      </c>
      <c r="BB460">
        <v>741</v>
      </c>
      <c r="BC460">
        <v>774</v>
      </c>
      <c r="BD460" t="s">
        <v>74</v>
      </c>
      <c r="BE460" t="s">
        <v>6948</v>
      </c>
      <c r="BF460" t="str">
        <f>HYPERLINK("http://dx.doi.org/10.1016/j.quascirev.2004.10.007","http://dx.doi.org/10.1016/j.quascirev.2004.10.007")</f>
        <v>http://dx.doi.org/10.1016/j.quascirev.2004.10.007</v>
      </c>
      <c r="BG460" t="s">
        <v>74</v>
      </c>
      <c r="BH460" t="s">
        <v>74</v>
      </c>
      <c r="BI460">
        <v>34</v>
      </c>
      <c r="BJ460" t="s">
        <v>242</v>
      </c>
      <c r="BK460" t="s">
        <v>95</v>
      </c>
      <c r="BL460" t="s">
        <v>243</v>
      </c>
      <c r="BM460" t="s">
        <v>6938</v>
      </c>
      <c r="BN460" t="s">
        <v>74</v>
      </c>
      <c r="BO460" t="s">
        <v>74</v>
      </c>
      <c r="BP460" t="s">
        <v>74</v>
      </c>
      <c r="BQ460" t="s">
        <v>74</v>
      </c>
      <c r="BR460" t="s">
        <v>97</v>
      </c>
      <c r="BS460" t="s">
        <v>6949</v>
      </c>
      <c r="BT460" t="str">
        <f>HYPERLINK("https%3A%2F%2Fwww.webofscience.com%2Fwos%2Fwoscc%2Ffull-record%2FWOS:000227777800012","View Full Record in Web of Science")</f>
        <v>View Full Record in Web of Science</v>
      </c>
    </row>
    <row r="461" spans="1:72" x14ac:dyDescent="0.15">
      <c r="A461" t="s">
        <v>72</v>
      </c>
      <c r="B461" t="s">
        <v>6950</v>
      </c>
      <c r="C461" t="s">
        <v>74</v>
      </c>
      <c r="D461" t="s">
        <v>74</v>
      </c>
      <c r="E461" t="s">
        <v>74</v>
      </c>
      <c r="F461" t="s">
        <v>6950</v>
      </c>
      <c r="G461" t="s">
        <v>74</v>
      </c>
      <c r="H461" t="s">
        <v>74</v>
      </c>
      <c r="I461" t="s">
        <v>6951</v>
      </c>
      <c r="J461" t="s">
        <v>6952</v>
      </c>
      <c r="K461" t="s">
        <v>74</v>
      </c>
      <c r="L461" t="s">
        <v>74</v>
      </c>
      <c r="M461" t="s">
        <v>77</v>
      </c>
      <c r="N461" t="s">
        <v>78</v>
      </c>
      <c r="O461" t="s">
        <v>74</v>
      </c>
      <c r="P461" t="s">
        <v>74</v>
      </c>
      <c r="Q461" t="s">
        <v>74</v>
      </c>
      <c r="R461" t="s">
        <v>74</v>
      </c>
      <c r="S461" t="s">
        <v>74</v>
      </c>
      <c r="T461" t="s">
        <v>74</v>
      </c>
      <c r="U461" t="s">
        <v>6953</v>
      </c>
      <c r="V461" t="s">
        <v>6954</v>
      </c>
      <c r="W461" t="s">
        <v>6955</v>
      </c>
      <c r="X461" t="s">
        <v>6956</v>
      </c>
      <c r="Y461" t="s">
        <v>6957</v>
      </c>
      <c r="Z461" t="s">
        <v>6958</v>
      </c>
      <c r="AA461" t="s">
        <v>6959</v>
      </c>
      <c r="AB461" t="s">
        <v>6960</v>
      </c>
      <c r="AC461" t="s">
        <v>74</v>
      </c>
      <c r="AD461" t="s">
        <v>74</v>
      </c>
      <c r="AE461" t="s">
        <v>74</v>
      </c>
      <c r="AF461" t="s">
        <v>74</v>
      </c>
      <c r="AG461">
        <v>27</v>
      </c>
      <c r="AH461">
        <v>27</v>
      </c>
      <c r="AI461">
        <v>29</v>
      </c>
      <c r="AJ461">
        <v>0</v>
      </c>
      <c r="AK461">
        <v>9</v>
      </c>
      <c r="AL461" t="s">
        <v>6961</v>
      </c>
      <c r="AM461" t="s">
        <v>1987</v>
      </c>
      <c r="AN461" t="s">
        <v>6962</v>
      </c>
      <c r="AO461" t="s">
        <v>6963</v>
      </c>
      <c r="AP461" t="s">
        <v>6964</v>
      </c>
      <c r="AQ461" t="s">
        <v>74</v>
      </c>
      <c r="AR461" t="s">
        <v>6965</v>
      </c>
      <c r="AS461" t="s">
        <v>6966</v>
      </c>
      <c r="AT461" t="s">
        <v>5640</v>
      </c>
      <c r="AU461">
        <v>2005</v>
      </c>
      <c r="AV461">
        <v>76</v>
      </c>
      <c r="AW461">
        <v>3</v>
      </c>
      <c r="AX461" t="s">
        <v>74</v>
      </c>
      <c r="AY461" t="s">
        <v>74</v>
      </c>
      <c r="AZ461" t="s">
        <v>74</v>
      </c>
      <c r="BA461" t="s">
        <v>74</v>
      </c>
      <c r="BB461" t="s">
        <v>74</v>
      </c>
      <c r="BC461" t="s">
        <v>74</v>
      </c>
      <c r="BD461">
        <v>34101</v>
      </c>
      <c r="BE461" t="s">
        <v>6967</v>
      </c>
      <c r="BF461" t="str">
        <f>HYPERLINK("http://dx.doi.org/10.1063/1.1867012","http://dx.doi.org/10.1063/1.1867012")</f>
        <v>http://dx.doi.org/10.1063/1.1867012</v>
      </c>
      <c r="BG461" t="s">
        <v>74</v>
      </c>
      <c r="BH461" t="s">
        <v>74</v>
      </c>
      <c r="BI461">
        <v>9</v>
      </c>
      <c r="BJ461" t="s">
        <v>6968</v>
      </c>
      <c r="BK461" t="s">
        <v>95</v>
      </c>
      <c r="BL461" t="s">
        <v>6969</v>
      </c>
      <c r="BM461" t="s">
        <v>6970</v>
      </c>
      <c r="BN461" t="s">
        <v>74</v>
      </c>
      <c r="BO461" t="s">
        <v>74</v>
      </c>
      <c r="BP461" t="s">
        <v>74</v>
      </c>
      <c r="BQ461" t="s">
        <v>74</v>
      </c>
      <c r="BR461" t="s">
        <v>97</v>
      </c>
      <c r="BS461" t="s">
        <v>6971</v>
      </c>
      <c r="BT461" t="str">
        <f>HYPERLINK("https%3A%2F%2Fwww.webofscience.com%2Fwos%2Fwoscc%2Ffull-record%2FWOS:000227530200033","View Full Record in Web of Science")</f>
        <v>View Full Record in Web of Science</v>
      </c>
    </row>
    <row r="462" spans="1:72" x14ac:dyDescent="0.15">
      <c r="A462" t="s">
        <v>72</v>
      </c>
      <c r="B462" t="s">
        <v>6972</v>
      </c>
      <c r="C462" t="s">
        <v>74</v>
      </c>
      <c r="D462" t="s">
        <v>74</v>
      </c>
      <c r="E462" t="s">
        <v>74</v>
      </c>
      <c r="F462" t="s">
        <v>6972</v>
      </c>
      <c r="G462" t="s">
        <v>74</v>
      </c>
      <c r="H462" t="s">
        <v>74</v>
      </c>
      <c r="I462" t="s">
        <v>6973</v>
      </c>
      <c r="J462" t="s">
        <v>6974</v>
      </c>
      <c r="K462" t="s">
        <v>74</v>
      </c>
      <c r="L462" t="s">
        <v>74</v>
      </c>
      <c r="M462" t="s">
        <v>77</v>
      </c>
      <c r="N462" t="s">
        <v>78</v>
      </c>
      <c r="O462" t="s">
        <v>74</v>
      </c>
      <c r="P462" t="s">
        <v>74</v>
      </c>
      <c r="Q462" t="s">
        <v>74</v>
      </c>
      <c r="R462" t="s">
        <v>74</v>
      </c>
      <c r="S462" t="s">
        <v>74</v>
      </c>
      <c r="T462" t="s">
        <v>6975</v>
      </c>
      <c r="U462" t="s">
        <v>6976</v>
      </c>
      <c r="V462" t="s">
        <v>6977</v>
      </c>
      <c r="W462" t="s">
        <v>6978</v>
      </c>
      <c r="X462" t="s">
        <v>6979</v>
      </c>
      <c r="Y462" t="s">
        <v>6980</v>
      </c>
      <c r="Z462" t="s">
        <v>6981</v>
      </c>
      <c r="AA462" t="s">
        <v>74</v>
      </c>
      <c r="AB462" t="s">
        <v>6982</v>
      </c>
      <c r="AC462" t="s">
        <v>74</v>
      </c>
      <c r="AD462" t="s">
        <v>74</v>
      </c>
      <c r="AE462" t="s">
        <v>74</v>
      </c>
      <c r="AF462" t="s">
        <v>74</v>
      </c>
      <c r="AG462">
        <v>74</v>
      </c>
      <c r="AH462">
        <v>40</v>
      </c>
      <c r="AI462">
        <v>41</v>
      </c>
      <c r="AJ462">
        <v>1</v>
      </c>
      <c r="AK462">
        <v>16</v>
      </c>
      <c r="AL462" t="s">
        <v>255</v>
      </c>
      <c r="AM462" t="s">
        <v>256</v>
      </c>
      <c r="AN462" t="s">
        <v>257</v>
      </c>
      <c r="AO462" t="s">
        <v>6983</v>
      </c>
      <c r="AP462" t="s">
        <v>74</v>
      </c>
      <c r="AQ462" t="s">
        <v>74</v>
      </c>
      <c r="AR462" t="s">
        <v>6984</v>
      </c>
      <c r="AS462" t="s">
        <v>6985</v>
      </c>
      <c r="AT462" t="s">
        <v>5640</v>
      </c>
      <c r="AU462">
        <v>2005</v>
      </c>
      <c r="AV462">
        <v>37</v>
      </c>
      <c r="AW462">
        <v>3</v>
      </c>
      <c r="AX462" t="s">
        <v>74</v>
      </c>
      <c r="AY462" t="s">
        <v>74</v>
      </c>
      <c r="AZ462" t="s">
        <v>74</v>
      </c>
      <c r="BA462" t="s">
        <v>74</v>
      </c>
      <c r="BB462">
        <v>581</v>
      </c>
      <c r="BC462">
        <v>595</v>
      </c>
      <c r="BD462" t="s">
        <v>74</v>
      </c>
      <c r="BE462" t="s">
        <v>6986</v>
      </c>
      <c r="BF462" t="str">
        <f>HYPERLINK("http://dx.doi.org/10.1016/j.soilbio.2004.08.020","http://dx.doi.org/10.1016/j.soilbio.2004.08.020")</f>
        <v>http://dx.doi.org/10.1016/j.soilbio.2004.08.020</v>
      </c>
      <c r="BG462" t="s">
        <v>74</v>
      </c>
      <c r="BH462" t="s">
        <v>74</v>
      </c>
      <c r="BI462">
        <v>15</v>
      </c>
      <c r="BJ462" t="s">
        <v>6987</v>
      </c>
      <c r="BK462" t="s">
        <v>95</v>
      </c>
      <c r="BL462" t="s">
        <v>6988</v>
      </c>
      <c r="BM462" t="s">
        <v>6989</v>
      </c>
      <c r="BN462" t="s">
        <v>74</v>
      </c>
      <c r="BO462" t="s">
        <v>74</v>
      </c>
      <c r="BP462" t="s">
        <v>74</v>
      </c>
      <c r="BQ462" t="s">
        <v>74</v>
      </c>
      <c r="BR462" t="s">
        <v>97</v>
      </c>
      <c r="BS462" t="s">
        <v>6990</v>
      </c>
      <c r="BT462" t="str">
        <f>HYPERLINK("https%3A%2F%2Fwww.webofscience.com%2Fwos%2Fwoscc%2Ffull-record%2FWOS:000226561500019","View Full Record in Web of Science")</f>
        <v>View Full Record in Web of Science</v>
      </c>
    </row>
    <row r="463" spans="1:72" x14ac:dyDescent="0.15">
      <c r="A463" t="s">
        <v>72</v>
      </c>
      <c r="B463" t="s">
        <v>6991</v>
      </c>
      <c r="C463" t="s">
        <v>74</v>
      </c>
      <c r="D463" t="s">
        <v>74</v>
      </c>
      <c r="E463" t="s">
        <v>74</v>
      </c>
      <c r="F463" t="s">
        <v>6991</v>
      </c>
      <c r="G463" t="s">
        <v>74</v>
      </c>
      <c r="H463" t="s">
        <v>74</v>
      </c>
      <c r="I463" t="s">
        <v>6992</v>
      </c>
      <c r="J463" t="s">
        <v>6993</v>
      </c>
      <c r="K463" t="s">
        <v>74</v>
      </c>
      <c r="L463" t="s">
        <v>74</v>
      </c>
      <c r="M463" t="s">
        <v>77</v>
      </c>
      <c r="N463" t="s">
        <v>365</v>
      </c>
      <c r="O463" t="s">
        <v>74</v>
      </c>
      <c r="P463" t="s">
        <v>74</v>
      </c>
      <c r="Q463" t="s">
        <v>74</v>
      </c>
      <c r="R463" t="s">
        <v>74</v>
      </c>
      <c r="S463" t="s">
        <v>74</v>
      </c>
      <c r="T463" t="s">
        <v>74</v>
      </c>
      <c r="U463" t="s">
        <v>6994</v>
      </c>
      <c r="V463" t="s">
        <v>6995</v>
      </c>
      <c r="W463" t="s">
        <v>6996</v>
      </c>
      <c r="X463" t="s">
        <v>6997</v>
      </c>
      <c r="Y463" t="s">
        <v>6998</v>
      </c>
      <c r="Z463" t="s">
        <v>74</v>
      </c>
      <c r="AA463" t="s">
        <v>74</v>
      </c>
      <c r="AB463" t="s">
        <v>6999</v>
      </c>
      <c r="AC463" t="s">
        <v>74</v>
      </c>
      <c r="AD463" t="s">
        <v>74</v>
      </c>
      <c r="AE463" t="s">
        <v>74</v>
      </c>
      <c r="AF463" t="s">
        <v>74</v>
      </c>
      <c r="AG463">
        <v>160</v>
      </c>
      <c r="AH463">
        <v>22</v>
      </c>
      <c r="AI463">
        <v>22</v>
      </c>
      <c r="AJ463">
        <v>0</v>
      </c>
      <c r="AK463">
        <v>12</v>
      </c>
      <c r="AL463" t="s">
        <v>3227</v>
      </c>
      <c r="AM463" t="s">
        <v>134</v>
      </c>
      <c r="AN463" t="s">
        <v>3228</v>
      </c>
      <c r="AO463" t="s">
        <v>7000</v>
      </c>
      <c r="AP463" t="s">
        <v>7001</v>
      </c>
      <c r="AQ463" t="s">
        <v>74</v>
      </c>
      <c r="AR463" t="s">
        <v>7002</v>
      </c>
      <c r="AS463" t="s">
        <v>7003</v>
      </c>
      <c r="AT463" t="s">
        <v>6002</v>
      </c>
      <c r="AU463">
        <v>2005</v>
      </c>
      <c r="AV463">
        <v>39</v>
      </c>
      <c r="AW463">
        <v>2</v>
      </c>
      <c r="AX463" t="s">
        <v>74</v>
      </c>
      <c r="AY463" t="s">
        <v>74</v>
      </c>
      <c r="AZ463" t="s">
        <v>74</v>
      </c>
      <c r="BA463" t="s">
        <v>74</v>
      </c>
      <c r="BB463">
        <v>124</v>
      </c>
      <c r="BC463">
        <v>149</v>
      </c>
      <c r="BD463" t="s">
        <v>74</v>
      </c>
      <c r="BE463" t="s">
        <v>7004</v>
      </c>
      <c r="BF463" t="str">
        <f>HYPERLINK("http://dx.doi.org/10.1007/s11208-005-0028-z","http://dx.doi.org/10.1007/s11208-005-0028-z")</f>
        <v>http://dx.doi.org/10.1007/s11208-005-0028-z</v>
      </c>
      <c r="BG463" t="s">
        <v>74</v>
      </c>
      <c r="BH463" t="s">
        <v>74</v>
      </c>
      <c r="BI463">
        <v>26</v>
      </c>
      <c r="BJ463" t="s">
        <v>853</v>
      </c>
      <c r="BK463" t="s">
        <v>95</v>
      </c>
      <c r="BL463" t="s">
        <v>853</v>
      </c>
      <c r="BM463" t="s">
        <v>7005</v>
      </c>
      <c r="BN463" t="s">
        <v>74</v>
      </c>
      <c r="BO463" t="s">
        <v>74</v>
      </c>
      <c r="BP463" t="s">
        <v>74</v>
      </c>
      <c r="BQ463" t="s">
        <v>74</v>
      </c>
      <c r="BR463" t="s">
        <v>97</v>
      </c>
      <c r="BS463" t="s">
        <v>7006</v>
      </c>
      <c r="BT463" t="str">
        <f>HYPERLINK("https%3A%2F%2Fwww.webofscience.com%2Fwos%2Fwoscc%2Ffull-record%2FWOS:000228953300004","View Full Record in Web of Science")</f>
        <v>View Full Record in Web of Science</v>
      </c>
    </row>
    <row r="464" spans="1:72" x14ac:dyDescent="0.15">
      <c r="A464" t="s">
        <v>72</v>
      </c>
      <c r="B464" t="s">
        <v>7007</v>
      </c>
      <c r="C464" t="s">
        <v>74</v>
      </c>
      <c r="D464" t="s">
        <v>74</v>
      </c>
      <c r="E464" t="s">
        <v>74</v>
      </c>
      <c r="F464" t="s">
        <v>7007</v>
      </c>
      <c r="G464" t="s">
        <v>74</v>
      </c>
      <c r="H464" t="s">
        <v>74</v>
      </c>
      <c r="I464" t="s">
        <v>7008</v>
      </c>
      <c r="J464" t="s">
        <v>7009</v>
      </c>
      <c r="K464" t="s">
        <v>74</v>
      </c>
      <c r="L464" t="s">
        <v>74</v>
      </c>
      <c r="M464" t="s">
        <v>77</v>
      </c>
      <c r="N464" t="s">
        <v>78</v>
      </c>
      <c r="O464" t="s">
        <v>74</v>
      </c>
      <c r="P464" t="s">
        <v>74</v>
      </c>
      <c r="Q464" t="s">
        <v>74</v>
      </c>
      <c r="R464" t="s">
        <v>74</v>
      </c>
      <c r="S464" t="s">
        <v>74</v>
      </c>
      <c r="T464" t="s">
        <v>7010</v>
      </c>
      <c r="U464" t="s">
        <v>7011</v>
      </c>
      <c r="V464" t="s">
        <v>7012</v>
      </c>
      <c r="W464" t="s">
        <v>7013</v>
      </c>
      <c r="X464" t="s">
        <v>7014</v>
      </c>
      <c r="Y464" t="s">
        <v>7015</v>
      </c>
      <c r="Z464" t="s">
        <v>7016</v>
      </c>
      <c r="AA464" t="s">
        <v>74</v>
      </c>
      <c r="AB464" t="s">
        <v>7017</v>
      </c>
      <c r="AC464" t="s">
        <v>74</v>
      </c>
      <c r="AD464" t="s">
        <v>74</v>
      </c>
      <c r="AE464" t="s">
        <v>74</v>
      </c>
      <c r="AF464" t="s">
        <v>74</v>
      </c>
      <c r="AG464">
        <v>24</v>
      </c>
      <c r="AH464">
        <v>4</v>
      </c>
      <c r="AI464">
        <v>4</v>
      </c>
      <c r="AJ464">
        <v>2</v>
      </c>
      <c r="AK464">
        <v>12</v>
      </c>
      <c r="AL464" t="s">
        <v>5476</v>
      </c>
      <c r="AM464" t="s">
        <v>5477</v>
      </c>
      <c r="AN464" t="s">
        <v>5478</v>
      </c>
      <c r="AO464" t="s">
        <v>7018</v>
      </c>
      <c r="AP464" t="s">
        <v>7019</v>
      </c>
      <c r="AQ464" t="s">
        <v>74</v>
      </c>
      <c r="AR464" t="s">
        <v>7020</v>
      </c>
      <c r="AS464" t="s">
        <v>7021</v>
      </c>
      <c r="AT464" t="s">
        <v>6002</v>
      </c>
      <c r="AU464">
        <v>2005</v>
      </c>
      <c r="AV464">
        <v>23</v>
      </c>
      <c r="AW464">
        <v>2</v>
      </c>
      <c r="AX464" t="s">
        <v>74</v>
      </c>
      <c r="AY464" t="s">
        <v>74</v>
      </c>
      <c r="AZ464" t="s">
        <v>74</v>
      </c>
      <c r="BA464" t="s">
        <v>74</v>
      </c>
      <c r="BB464">
        <v>289</v>
      </c>
      <c r="BC464">
        <v>306</v>
      </c>
      <c r="BD464" t="s">
        <v>74</v>
      </c>
      <c r="BE464" t="s">
        <v>7022</v>
      </c>
      <c r="BF464" t="str">
        <f>HYPERLINK("http://dx.doi.org/10.1081/SEI-200044387","http://dx.doi.org/10.1081/SEI-200044387")</f>
        <v>http://dx.doi.org/10.1081/SEI-200044387</v>
      </c>
      <c r="BG464" t="s">
        <v>74</v>
      </c>
      <c r="BH464" t="s">
        <v>74</v>
      </c>
      <c r="BI464">
        <v>18</v>
      </c>
      <c r="BJ464" t="s">
        <v>7023</v>
      </c>
      <c r="BK464" t="s">
        <v>95</v>
      </c>
      <c r="BL464" t="s">
        <v>4061</v>
      </c>
      <c r="BM464" t="s">
        <v>7024</v>
      </c>
      <c r="BN464" t="s">
        <v>74</v>
      </c>
      <c r="BO464" t="s">
        <v>74</v>
      </c>
      <c r="BP464" t="s">
        <v>74</v>
      </c>
      <c r="BQ464" t="s">
        <v>74</v>
      </c>
      <c r="BR464" t="s">
        <v>97</v>
      </c>
      <c r="BS464" t="s">
        <v>7025</v>
      </c>
      <c r="BT464" t="str">
        <f>HYPERLINK("https%3A%2F%2Fwww.webofscience.com%2Fwos%2Fwoscc%2Ffull-record%2FWOS:000227919700008","View Full Record in Web of Science")</f>
        <v>View Full Record in Web of Science</v>
      </c>
    </row>
    <row r="465" spans="1:72" x14ac:dyDescent="0.15">
      <c r="A465" t="s">
        <v>72</v>
      </c>
      <c r="B465" t="s">
        <v>7026</v>
      </c>
      <c r="C465" t="s">
        <v>74</v>
      </c>
      <c r="D465" t="s">
        <v>74</v>
      </c>
      <c r="E465" t="s">
        <v>74</v>
      </c>
      <c r="F465" t="s">
        <v>7026</v>
      </c>
      <c r="G465" t="s">
        <v>74</v>
      </c>
      <c r="H465" t="s">
        <v>74</v>
      </c>
      <c r="I465" t="s">
        <v>7027</v>
      </c>
      <c r="J465" t="s">
        <v>7028</v>
      </c>
      <c r="K465" t="s">
        <v>74</v>
      </c>
      <c r="L465" t="s">
        <v>74</v>
      </c>
      <c r="M465" t="s">
        <v>77</v>
      </c>
      <c r="N465" t="s">
        <v>78</v>
      </c>
      <c r="O465" t="s">
        <v>74</v>
      </c>
      <c r="P465" t="s">
        <v>74</v>
      </c>
      <c r="Q465" t="s">
        <v>74</v>
      </c>
      <c r="R465" t="s">
        <v>74</v>
      </c>
      <c r="S465" t="s">
        <v>74</v>
      </c>
      <c r="T465" t="s">
        <v>7029</v>
      </c>
      <c r="U465" t="s">
        <v>7030</v>
      </c>
      <c r="V465" t="s">
        <v>7031</v>
      </c>
      <c r="W465" t="s">
        <v>7032</v>
      </c>
      <c r="X465" t="s">
        <v>7033</v>
      </c>
      <c r="Y465" t="s">
        <v>7034</v>
      </c>
      <c r="Z465" t="s">
        <v>7035</v>
      </c>
      <c r="AA465" t="s">
        <v>7036</v>
      </c>
      <c r="AB465" t="s">
        <v>7037</v>
      </c>
      <c r="AC465" t="s">
        <v>74</v>
      </c>
      <c r="AD465" t="s">
        <v>74</v>
      </c>
      <c r="AE465" t="s">
        <v>74</v>
      </c>
      <c r="AF465" t="s">
        <v>74</v>
      </c>
      <c r="AG465">
        <v>15</v>
      </c>
      <c r="AH465">
        <v>8</v>
      </c>
      <c r="AI465">
        <v>11</v>
      </c>
      <c r="AJ465">
        <v>0</v>
      </c>
      <c r="AK465">
        <v>9</v>
      </c>
      <c r="AL465" t="s">
        <v>472</v>
      </c>
      <c r="AM465" t="s">
        <v>473</v>
      </c>
      <c r="AN465" t="s">
        <v>474</v>
      </c>
      <c r="AO465" t="s">
        <v>7038</v>
      </c>
      <c r="AP465" t="s">
        <v>7039</v>
      </c>
      <c r="AQ465" t="s">
        <v>74</v>
      </c>
      <c r="AR465" t="s">
        <v>7028</v>
      </c>
      <c r="AS465" t="s">
        <v>7040</v>
      </c>
      <c r="AT465" t="s">
        <v>5640</v>
      </c>
      <c r="AU465">
        <v>2005</v>
      </c>
      <c r="AV465">
        <v>65</v>
      </c>
      <c r="AW465">
        <v>3</v>
      </c>
      <c r="AX465" t="s">
        <v>74</v>
      </c>
      <c r="AY465" t="s">
        <v>74</v>
      </c>
      <c r="AZ465" t="s">
        <v>74</v>
      </c>
      <c r="BA465" t="s">
        <v>74</v>
      </c>
      <c r="BB465">
        <v>283</v>
      </c>
      <c r="BC465">
        <v>286</v>
      </c>
      <c r="BD465" t="s">
        <v>74</v>
      </c>
      <c r="BE465" t="s">
        <v>7041</v>
      </c>
      <c r="BF465" t="str">
        <f>HYPERLINK("http://dx.doi.org/10.1111/j.1399-0039.2005.00371.x","http://dx.doi.org/10.1111/j.1399-0039.2005.00371.x")</f>
        <v>http://dx.doi.org/10.1111/j.1399-0039.2005.00371.x</v>
      </c>
      <c r="BG465" t="s">
        <v>74</v>
      </c>
      <c r="BH465" t="s">
        <v>74</v>
      </c>
      <c r="BI465">
        <v>4</v>
      </c>
      <c r="BJ465" t="s">
        <v>7042</v>
      </c>
      <c r="BK465" t="s">
        <v>95</v>
      </c>
      <c r="BL465" t="s">
        <v>7042</v>
      </c>
      <c r="BM465" t="s">
        <v>7043</v>
      </c>
      <c r="BN465">
        <v>15730524</v>
      </c>
      <c r="BO465" t="s">
        <v>74</v>
      </c>
      <c r="BP465" t="s">
        <v>74</v>
      </c>
      <c r="BQ465" t="s">
        <v>74</v>
      </c>
      <c r="BR465" t="s">
        <v>97</v>
      </c>
      <c r="BS465" t="s">
        <v>7044</v>
      </c>
      <c r="BT465" t="str">
        <f>HYPERLINK("https%3A%2F%2Fwww.webofscience.com%2Fwos%2Fwoscc%2Ffull-record%2FWOS:000227188800011","View Full Record in Web of Science")</f>
        <v>View Full Record in Web of Science</v>
      </c>
    </row>
    <row r="466" spans="1:72" x14ac:dyDescent="0.15">
      <c r="A466" t="s">
        <v>72</v>
      </c>
      <c r="B466" t="s">
        <v>7045</v>
      </c>
      <c r="C466" t="s">
        <v>74</v>
      </c>
      <c r="D466" t="s">
        <v>74</v>
      </c>
      <c r="E466" t="s">
        <v>74</v>
      </c>
      <c r="F466" t="s">
        <v>7045</v>
      </c>
      <c r="G466" t="s">
        <v>74</v>
      </c>
      <c r="H466" t="s">
        <v>74</v>
      </c>
      <c r="I466" t="s">
        <v>7046</v>
      </c>
      <c r="J466" t="s">
        <v>7047</v>
      </c>
      <c r="K466" t="s">
        <v>74</v>
      </c>
      <c r="L466" t="s">
        <v>74</v>
      </c>
      <c r="M466" t="s">
        <v>77</v>
      </c>
      <c r="N466" t="s">
        <v>365</v>
      </c>
      <c r="O466" t="s">
        <v>74</v>
      </c>
      <c r="P466" t="s">
        <v>74</v>
      </c>
      <c r="Q466" t="s">
        <v>74</v>
      </c>
      <c r="R466" t="s">
        <v>74</v>
      </c>
      <c r="S466" t="s">
        <v>74</v>
      </c>
      <c r="T466" t="s">
        <v>74</v>
      </c>
      <c r="U466" t="s">
        <v>7048</v>
      </c>
      <c r="V466" t="s">
        <v>7049</v>
      </c>
      <c r="W466" t="s">
        <v>7050</v>
      </c>
      <c r="X466" t="s">
        <v>7051</v>
      </c>
      <c r="Y466" t="s">
        <v>7052</v>
      </c>
      <c r="Z466" t="s">
        <v>7053</v>
      </c>
      <c r="AA466" t="s">
        <v>7054</v>
      </c>
      <c r="AB466" t="s">
        <v>7055</v>
      </c>
      <c r="AC466" t="s">
        <v>74</v>
      </c>
      <c r="AD466" t="s">
        <v>74</v>
      </c>
      <c r="AE466" t="s">
        <v>74</v>
      </c>
      <c r="AF466" t="s">
        <v>74</v>
      </c>
      <c r="AG466">
        <v>18</v>
      </c>
      <c r="AH466">
        <v>21</v>
      </c>
      <c r="AI466">
        <v>26</v>
      </c>
      <c r="AJ466">
        <v>1</v>
      </c>
      <c r="AK466">
        <v>25</v>
      </c>
      <c r="AL466" t="s">
        <v>2232</v>
      </c>
      <c r="AM466" t="s">
        <v>256</v>
      </c>
      <c r="AN466" t="s">
        <v>2233</v>
      </c>
      <c r="AO466" t="s">
        <v>7056</v>
      </c>
      <c r="AP466" t="s">
        <v>7057</v>
      </c>
      <c r="AQ466" t="s">
        <v>74</v>
      </c>
      <c r="AR466" t="s">
        <v>7058</v>
      </c>
      <c r="AS466" t="s">
        <v>7059</v>
      </c>
      <c r="AT466" t="s">
        <v>5640</v>
      </c>
      <c r="AU466">
        <v>2005</v>
      </c>
      <c r="AV466">
        <v>13</v>
      </c>
      <c r="AW466">
        <v>3</v>
      </c>
      <c r="AX466" t="s">
        <v>74</v>
      </c>
      <c r="AY466" t="s">
        <v>74</v>
      </c>
      <c r="AZ466" t="s">
        <v>74</v>
      </c>
      <c r="BA466" t="s">
        <v>74</v>
      </c>
      <c r="BB466">
        <v>87</v>
      </c>
      <c r="BC466">
        <v>88</v>
      </c>
      <c r="BD466" t="s">
        <v>74</v>
      </c>
      <c r="BE466" t="s">
        <v>7060</v>
      </c>
      <c r="BF466" t="str">
        <f>HYPERLINK("http://dx.doi.org/10.1016/j.tim.2004.11.002","http://dx.doi.org/10.1016/j.tim.2004.11.002")</f>
        <v>http://dx.doi.org/10.1016/j.tim.2004.11.002</v>
      </c>
      <c r="BG466" t="s">
        <v>74</v>
      </c>
      <c r="BH466" t="s">
        <v>74</v>
      </c>
      <c r="BI466">
        <v>2</v>
      </c>
      <c r="BJ466" t="s">
        <v>4500</v>
      </c>
      <c r="BK466" t="s">
        <v>95</v>
      </c>
      <c r="BL466" t="s">
        <v>4500</v>
      </c>
      <c r="BM466" t="s">
        <v>7061</v>
      </c>
      <c r="BN466">
        <v>15737723</v>
      </c>
      <c r="BO466" t="s">
        <v>74</v>
      </c>
      <c r="BP466" t="s">
        <v>74</v>
      </c>
      <c r="BQ466" t="s">
        <v>74</v>
      </c>
      <c r="BR466" t="s">
        <v>97</v>
      </c>
      <c r="BS466" t="s">
        <v>7062</v>
      </c>
      <c r="BT466" t="str">
        <f>HYPERLINK("https%3A%2F%2Fwww.webofscience.com%2Fwos%2Fwoscc%2Ffull-record%2FWOS:000227932800001","View Full Record in Web of Science")</f>
        <v>View Full Record in Web of Science</v>
      </c>
    </row>
    <row r="467" spans="1:72" x14ac:dyDescent="0.15">
      <c r="A467" t="s">
        <v>72</v>
      </c>
      <c r="B467" t="s">
        <v>7063</v>
      </c>
      <c r="C467" t="s">
        <v>74</v>
      </c>
      <c r="D467" t="s">
        <v>74</v>
      </c>
      <c r="E467" t="s">
        <v>74</v>
      </c>
      <c r="F467" t="s">
        <v>7063</v>
      </c>
      <c r="G467" t="s">
        <v>74</v>
      </c>
      <c r="H467" t="s">
        <v>74</v>
      </c>
      <c r="I467" t="s">
        <v>7064</v>
      </c>
      <c r="J467" t="s">
        <v>7065</v>
      </c>
      <c r="K467" t="s">
        <v>74</v>
      </c>
      <c r="L467" t="s">
        <v>74</v>
      </c>
      <c r="M467" t="s">
        <v>77</v>
      </c>
      <c r="N467" t="s">
        <v>78</v>
      </c>
      <c r="O467" t="s">
        <v>74</v>
      </c>
      <c r="P467" t="s">
        <v>74</v>
      </c>
      <c r="Q467" t="s">
        <v>74</v>
      </c>
      <c r="R467" t="s">
        <v>74</v>
      </c>
      <c r="S467" t="s">
        <v>74</v>
      </c>
      <c r="T467" t="s">
        <v>7066</v>
      </c>
      <c r="U467" t="s">
        <v>7067</v>
      </c>
      <c r="V467" t="s">
        <v>7068</v>
      </c>
      <c r="W467" t="s">
        <v>7069</v>
      </c>
      <c r="X467" t="s">
        <v>7070</v>
      </c>
      <c r="Y467" t="s">
        <v>7071</v>
      </c>
      <c r="Z467" t="s">
        <v>7072</v>
      </c>
      <c r="AA467" t="s">
        <v>7073</v>
      </c>
      <c r="AB467" t="s">
        <v>7074</v>
      </c>
      <c r="AC467" t="s">
        <v>74</v>
      </c>
      <c r="AD467" t="s">
        <v>74</v>
      </c>
      <c r="AE467" t="s">
        <v>74</v>
      </c>
      <c r="AF467" t="s">
        <v>74</v>
      </c>
      <c r="AG467">
        <v>26</v>
      </c>
      <c r="AH467">
        <v>41</v>
      </c>
      <c r="AI467">
        <v>43</v>
      </c>
      <c r="AJ467">
        <v>1</v>
      </c>
      <c r="AK467">
        <v>6</v>
      </c>
      <c r="AL467" t="s">
        <v>456</v>
      </c>
      <c r="AM467" t="s">
        <v>436</v>
      </c>
      <c r="AN467" t="s">
        <v>457</v>
      </c>
      <c r="AO467" t="s">
        <v>7075</v>
      </c>
      <c r="AP467" t="s">
        <v>74</v>
      </c>
      <c r="AQ467" t="s">
        <v>74</v>
      </c>
      <c r="AR467" t="s">
        <v>7076</v>
      </c>
      <c r="AS467" t="s">
        <v>7077</v>
      </c>
      <c r="AT467" t="s">
        <v>5640</v>
      </c>
      <c r="AU467">
        <v>2005</v>
      </c>
      <c r="AV467">
        <v>108</v>
      </c>
      <c r="AW467" t="s">
        <v>442</v>
      </c>
      <c r="AX467" t="s">
        <v>74</v>
      </c>
      <c r="AY467" t="s">
        <v>74</v>
      </c>
      <c r="AZ467" t="s">
        <v>74</v>
      </c>
      <c r="BA467" t="s">
        <v>74</v>
      </c>
      <c r="BB467">
        <v>83</v>
      </c>
      <c r="BC467">
        <v>87</v>
      </c>
      <c r="BD467" t="s">
        <v>74</v>
      </c>
      <c r="BE467" t="s">
        <v>7078</v>
      </c>
      <c r="BF467" t="str">
        <f>HYPERLINK("http://dx.doi.org/10.1016/j.virusres.2004.08.005","http://dx.doi.org/10.1016/j.virusres.2004.08.005")</f>
        <v>http://dx.doi.org/10.1016/j.virusres.2004.08.005</v>
      </c>
      <c r="BG467" t="s">
        <v>74</v>
      </c>
      <c r="BH467" t="s">
        <v>74</v>
      </c>
      <c r="BI467">
        <v>5</v>
      </c>
      <c r="BJ467" t="s">
        <v>7079</v>
      </c>
      <c r="BK467" t="s">
        <v>95</v>
      </c>
      <c r="BL467" t="s">
        <v>7079</v>
      </c>
      <c r="BM467" t="s">
        <v>7080</v>
      </c>
      <c r="BN467">
        <v>15681058</v>
      </c>
      <c r="BO467" t="s">
        <v>74</v>
      </c>
      <c r="BP467" t="s">
        <v>74</v>
      </c>
      <c r="BQ467" t="s">
        <v>74</v>
      </c>
      <c r="BR467" t="s">
        <v>97</v>
      </c>
      <c r="BS467" t="s">
        <v>7081</v>
      </c>
      <c r="BT467" t="str">
        <f>HYPERLINK("https%3A%2F%2Fwww.webofscience.com%2Fwos%2Fwoscc%2Ffull-record%2FWOS:000227083700010","View Full Record in Web of Science")</f>
        <v>View Full Record in Web of Science</v>
      </c>
    </row>
    <row r="468" spans="1:72" x14ac:dyDescent="0.15">
      <c r="A468" t="s">
        <v>72</v>
      </c>
      <c r="B468" t="s">
        <v>7082</v>
      </c>
      <c r="C468" t="s">
        <v>74</v>
      </c>
      <c r="D468" t="s">
        <v>74</v>
      </c>
      <c r="E468" t="s">
        <v>74</v>
      </c>
      <c r="F468" t="s">
        <v>7082</v>
      </c>
      <c r="G468" t="s">
        <v>74</v>
      </c>
      <c r="H468" t="s">
        <v>74</v>
      </c>
      <c r="I468" t="s">
        <v>7083</v>
      </c>
      <c r="J468" t="s">
        <v>785</v>
      </c>
      <c r="K468" t="s">
        <v>74</v>
      </c>
      <c r="L468" t="s">
        <v>74</v>
      </c>
      <c r="M468" t="s">
        <v>77</v>
      </c>
      <c r="N468" t="s">
        <v>78</v>
      </c>
      <c r="O468" t="s">
        <v>74</v>
      </c>
      <c r="P468" t="s">
        <v>74</v>
      </c>
      <c r="Q468" t="s">
        <v>74</v>
      </c>
      <c r="R468" t="s">
        <v>74</v>
      </c>
      <c r="S468" t="s">
        <v>74</v>
      </c>
      <c r="T468" t="s">
        <v>7084</v>
      </c>
      <c r="U468" t="s">
        <v>7085</v>
      </c>
      <c r="V468" t="s">
        <v>7086</v>
      </c>
      <c r="W468" t="s">
        <v>7087</v>
      </c>
      <c r="X468" t="s">
        <v>7088</v>
      </c>
      <c r="Y468" t="s">
        <v>7089</v>
      </c>
      <c r="Z468" t="s">
        <v>7090</v>
      </c>
      <c r="AA468" t="s">
        <v>7091</v>
      </c>
      <c r="AB468" t="s">
        <v>7092</v>
      </c>
      <c r="AC468" t="s">
        <v>74</v>
      </c>
      <c r="AD468" t="s">
        <v>74</v>
      </c>
      <c r="AE468" t="s">
        <v>74</v>
      </c>
      <c r="AF468" t="s">
        <v>74</v>
      </c>
      <c r="AG468">
        <v>57</v>
      </c>
      <c r="AH468">
        <v>164</v>
      </c>
      <c r="AI468">
        <v>176</v>
      </c>
      <c r="AJ468">
        <v>1</v>
      </c>
      <c r="AK468">
        <v>47</v>
      </c>
      <c r="AL468" t="s">
        <v>456</v>
      </c>
      <c r="AM468" t="s">
        <v>436</v>
      </c>
      <c r="AN468" t="s">
        <v>457</v>
      </c>
      <c r="AO468" t="s">
        <v>795</v>
      </c>
      <c r="AP468" t="s">
        <v>796</v>
      </c>
      <c r="AQ468" t="s">
        <v>74</v>
      </c>
      <c r="AR468" t="s">
        <v>797</v>
      </c>
      <c r="AS468" t="s">
        <v>798</v>
      </c>
      <c r="AT468" t="s">
        <v>7093</v>
      </c>
      <c r="AU468">
        <v>2005</v>
      </c>
      <c r="AV468">
        <v>217</v>
      </c>
      <c r="AW468" t="s">
        <v>961</v>
      </c>
      <c r="AX468" t="s">
        <v>74</v>
      </c>
      <c r="AY468" t="s">
        <v>74</v>
      </c>
      <c r="AZ468" t="s">
        <v>74</v>
      </c>
      <c r="BA468" t="s">
        <v>74</v>
      </c>
      <c r="BB468">
        <v>205</v>
      </c>
      <c r="BC468">
        <v>222</v>
      </c>
      <c r="BD468" t="s">
        <v>74</v>
      </c>
      <c r="BE468" t="s">
        <v>7094</v>
      </c>
      <c r="BF468" t="str">
        <f>HYPERLINK("http://dx.doi.org/10.1016/j.palaeo.2004.12.001","http://dx.doi.org/10.1016/j.palaeo.2004.12.001")</f>
        <v>http://dx.doi.org/10.1016/j.palaeo.2004.12.001</v>
      </c>
      <c r="BG468" t="s">
        <v>74</v>
      </c>
      <c r="BH468" t="s">
        <v>74</v>
      </c>
      <c r="BI468">
        <v>18</v>
      </c>
      <c r="BJ468" t="s">
        <v>801</v>
      </c>
      <c r="BK468" t="s">
        <v>95</v>
      </c>
      <c r="BL468" t="s">
        <v>802</v>
      </c>
      <c r="BM468" t="s">
        <v>7095</v>
      </c>
      <c r="BN468" t="s">
        <v>74</v>
      </c>
      <c r="BO468" t="s">
        <v>750</v>
      </c>
      <c r="BP468" t="s">
        <v>74</v>
      </c>
      <c r="BQ468" t="s">
        <v>74</v>
      </c>
      <c r="BR468" t="s">
        <v>97</v>
      </c>
      <c r="BS468" t="s">
        <v>7096</v>
      </c>
      <c r="BT468" t="str">
        <f>HYPERLINK("https%3A%2F%2Fwww.webofscience.com%2Fwos%2Fwoscc%2Ffull-record%2FWOS:000227309900003","View Full Record in Web of Science")</f>
        <v>View Full Record in Web of Science</v>
      </c>
    </row>
    <row r="469" spans="1:72" x14ac:dyDescent="0.15">
      <c r="A469" t="s">
        <v>72</v>
      </c>
      <c r="B469" t="s">
        <v>7097</v>
      </c>
      <c r="C469" t="s">
        <v>74</v>
      </c>
      <c r="D469" t="s">
        <v>74</v>
      </c>
      <c r="E469" t="s">
        <v>74</v>
      </c>
      <c r="F469" t="s">
        <v>7097</v>
      </c>
      <c r="G469" t="s">
        <v>74</v>
      </c>
      <c r="H469" t="s">
        <v>74</v>
      </c>
      <c r="I469" t="s">
        <v>7098</v>
      </c>
      <c r="J469" t="s">
        <v>767</v>
      </c>
      <c r="K469" t="s">
        <v>74</v>
      </c>
      <c r="L469" t="s">
        <v>74</v>
      </c>
      <c r="M469" t="s">
        <v>77</v>
      </c>
      <c r="N469" t="s">
        <v>78</v>
      </c>
      <c r="O469" t="s">
        <v>74</v>
      </c>
      <c r="P469" t="s">
        <v>74</v>
      </c>
      <c r="Q469" t="s">
        <v>74</v>
      </c>
      <c r="R469" t="s">
        <v>74</v>
      </c>
      <c r="S469" t="s">
        <v>74</v>
      </c>
      <c r="T469" t="s">
        <v>7099</v>
      </c>
      <c r="U469" t="s">
        <v>7100</v>
      </c>
      <c r="V469" t="s">
        <v>7101</v>
      </c>
      <c r="W469" t="s">
        <v>7102</v>
      </c>
      <c r="X469" t="s">
        <v>7103</v>
      </c>
      <c r="Y469" t="s">
        <v>7104</v>
      </c>
      <c r="Z469" t="s">
        <v>7105</v>
      </c>
      <c r="AA469" t="s">
        <v>7106</v>
      </c>
      <c r="AB469" t="s">
        <v>7107</v>
      </c>
      <c r="AC469" t="s">
        <v>74</v>
      </c>
      <c r="AD469" t="s">
        <v>74</v>
      </c>
      <c r="AE469" t="s">
        <v>74</v>
      </c>
      <c r="AF469" t="s">
        <v>74</v>
      </c>
      <c r="AG469">
        <v>41</v>
      </c>
      <c r="AH469">
        <v>39</v>
      </c>
      <c r="AI469">
        <v>44</v>
      </c>
      <c r="AJ469">
        <v>4</v>
      </c>
      <c r="AK469">
        <v>64</v>
      </c>
      <c r="AL469" t="s">
        <v>738</v>
      </c>
      <c r="AM469" t="s">
        <v>739</v>
      </c>
      <c r="AN469" t="s">
        <v>740</v>
      </c>
      <c r="AO469" t="s">
        <v>776</v>
      </c>
      <c r="AP469" t="s">
        <v>777</v>
      </c>
      <c r="AQ469" t="s">
        <v>74</v>
      </c>
      <c r="AR469" t="s">
        <v>778</v>
      </c>
      <c r="AS469" t="s">
        <v>779</v>
      </c>
      <c r="AT469" t="s">
        <v>7108</v>
      </c>
      <c r="AU469">
        <v>2005</v>
      </c>
      <c r="AV469">
        <v>272</v>
      </c>
      <c r="AW469">
        <v>1561</v>
      </c>
      <c r="AX469" t="s">
        <v>74</v>
      </c>
      <c r="AY469" t="s">
        <v>74</v>
      </c>
      <c r="AZ469" t="s">
        <v>74</v>
      </c>
      <c r="BA469" t="s">
        <v>74</v>
      </c>
      <c r="BB469">
        <v>355</v>
      </c>
      <c r="BC469">
        <v>363</v>
      </c>
      <c r="BD469" t="s">
        <v>74</v>
      </c>
      <c r="BE469" t="s">
        <v>7109</v>
      </c>
      <c r="BF469" t="str">
        <f>HYPERLINK("http://dx.doi.org/10.1098/rspb.2004.2964","http://dx.doi.org/10.1098/rspb.2004.2964")</f>
        <v>http://dx.doi.org/10.1098/rspb.2004.2964</v>
      </c>
      <c r="BG469" t="s">
        <v>74</v>
      </c>
      <c r="BH469" t="s">
        <v>74</v>
      </c>
      <c r="BI469">
        <v>9</v>
      </c>
      <c r="BJ469" t="s">
        <v>747</v>
      </c>
      <c r="BK469" t="s">
        <v>95</v>
      </c>
      <c r="BL469" t="s">
        <v>748</v>
      </c>
      <c r="BM469" t="s">
        <v>7110</v>
      </c>
      <c r="BN469">
        <v>15734689</v>
      </c>
      <c r="BO469" t="s">
        <v>7111</v>
      </c>
      <c r="BP469" t="s">
        <v>74</v>
      </c>
      <c r="BQ469" t="s">
        <v>74</v>
      </c>
      <c r="BR469" t="s">
        <v>97</v>
      </c>
      <c r="BS469" t="s">
        <v>7112</v>
      </c>
      <c r="BT469" t="str">
        <f>HYPERLINK("https%3A%2F%2Fwww.webofscience.com%2Fwos%2Fwoscc%2Ffull-record%2FWOS:000227809000002","View Full Record in Web of Science")</f>
        <v>View Full Record in Web of Science</v>
      </c>
    </row>
    <row r="470" spans="1:72" x14ac:dyDescent="0.15">
      <c r="A470" t="s">
        <v>72</v>
      </c>
      <c r="B470" t="s">
        <v>7113</v>
      </c>
      <c r="C470" t="s">
        <v>74</v>
      </c>
      <c r="D470" t="s">
        <v>74</v>
      </c>
      <c r="E470" t="s">
        <v>74</v>
      </c>
      <c r="F470" t="s">
        <v>7113</v>
      </c>
      <c r="G470" t="s">
        <v>74</v>
      </c>
      <c r="H470" t="s">
        <v>74</v>
      </c>
      <c r="I470" t="s">
        <v>7114</v>
      </c>
      <c r="J470" t="s">
        <v>637</v>
      </c>
      <c r="K470" t="s">
        <v>74</v>
      </c>
      <c r="L470" t="s">
        <v>74</v>
      </c>
      <c r="M470" t="s">
        <v>77</v>
      </c>
      <c r="N470" t="s">
        <v>78</v>
      </c>
      <c r="O470" t="s">
        <v>74</v>
      </c>
      <c r="P470" t="s">
        <v>74</v>
      </c>
      <c r="Q470" t="s">
        <v>74</v>
      </c>
      <c r="R470" t="s">
        <v>74</v>
      </c>
      <c r="S470" t="s">
        <v>74</v>
      </c>
      <c r="T470" t="s">
        <v>74</v>
      </c>
      <c r="U470" t="s">
        <v>7115</v>
      </c>
      <c r="V470" t="s">
        <v>7116</v>
      </c>
      <c r="W470" t="s">
        <v>7117</v>
      </c>
      <c r="X470" t="s">
        <v>7118</v>
      </c>
      <c r="Y470" t="s">
        <v>7119</v>
      </c>
      <c r="Z470" t="s">
        <v>7120</v>
      </c>
      <c r="AA470" t="s">
        <v>74</v>
      </c>
      <c r="AB470" t="s">
        <v>74</v>
      </c>
      <c r="AC470" t="s">
        <v>74</v>
      </c>
      <c r="AD470" t="s">
        <v>74</v>
      </c>
      <c r="AE470" t="s">
        <v>74</v>
      </c>
      <c r="AF470" t="s">
        <v>74</v>
      </c>
      <c r="AG470">
        <v>54</v>
      </c>
      <c r="AH470">
        <v>66</v>
      </c>
      <c r="AI470">
        <v>80</v>
      </c>
      <c r="AJ470">
        <v>1</v>
      </c>
      <c r="AK470">
        <v>14</v>
      </c>
      <c r="AL470" t="s">
        <v>527</v>
      </c>
      <c r="AM470" t="s">
        <v>528</v>
      </c>
      <c r="AN470" t="s">
        <v>529</v>
      </c>
      <c r="AO470" t="s">
        <v>644</v>
      </c>
      <c r="AP470" t="s">
        <v>645</v>
      </c>
      <c r="AQ470" t="s">
        <v>74</v>
      </c>
      <c r="AR470" t="s">
        <v>637</v>
      </c>
      <c r="AS470" t="s">
        <v>646</v>
      </c>
      <c r="AT470" t="s">
        <v>7121</v>
      </c>
      <c r="AU470">
        <v>2005</v>
      </c>
      <c r="AV470">
        <v>20</v>
      </c>
      <c r="AW470">
        <v>1</v>
      </c>
      <c r="AX470" t="s">
        <v>74</v>
      </c>
      <c r="AY470" t="s">
        <v>74</v>
      </c>
      <c r="AZ470" t="s">
        <v>74</v>
      </c>
      <c r="BA470" t="s">
        <v>74</v>
      </c>
      <c r="BB470" t="s">
        <v>74</v>
      </c>
      <c r="BC470" t="s">
        <v>74</v>
      </c>
      <c r="BD470" t="s">
        <v>7122</v>
      </c>
      <c r="BE470" t="s">
        <v>7123</v>
      </c>
      <c r="BF470" t="str">
        <f>HYPERLINK("http://dx.doi.org/10.1029/2004PA001064","http://dx.doi.org/10.1029/2004PA001064")</f>
        <v>http://dx.doi.org/10.1029/2004PA001064</v>
      </c>
      <c r="BG470" t="s">
        <v>74</v>
      </c>
      <c r="BH470" t="s">
        <v>74</v>
      </c>
      <c r="BI470">
        <v>9</v>
      </c>
      <c r="BJ470" t="s">
        <v>649</v>
      </c>
      <c r="BK470" t="s">
        <v>95</v>
      </c>
      <c r="BL470" t="s">
        <v>650</v>
      </c>
      <c r="BM470" t="s">
        <v>7124</v>
      </c>
      <c r="BN470" t="s">
        <v>74</v>
      </c>
      <c r="BO470" t="s">
        <v>750</v>
      </c>
      <c r="BP470" t="s">
        <v>74</v>
      </c>
      <c r="BQ470" t="s">
        <v>74</v>
      </c>
      <c r="BR470" t="s">
        <v>97</v>
      </c>
      <c r="BS470" t="s">
        <v>7125</v>
      </c>
      <c r="BT470" t="str">
        <f>HYPERLINK("https%3A%2F%2Fwww.webofscience.com%2Fwos%2Fwoscc%2Ffull-record%2FWOS:000227215700001","View Full Record in Web of Science")</f>
        <v>View Full Record in Web of Science</v>
      </c>
    </row>
    <row r="471" spans="1:72" x14ac:dyDescent="0.15">
      <c r="A471" t="s">
        <v>72</v>
      </c>
      <c r="B471" t="s">
        <v>7126</v>
      </c>
      <c r="C471" t="s">
        <v>74</v>
      </c>
      <c r="D471" t="s">
        <v>74</v>
      </c>
      <c r="E471" t="s">
        <v>74</v>
      </c>
      <c r="F471" t="s">
        <v>7126</v>
      </c>
      <c r="G471" t="s">
        <v>74</v>
      </c>
      <c r="H471" t="s">
        <v>74</v>
      </c>
      <c r="I471" t="s">
        <v>7127</v>
      </c>
      <c r="J471" t="s">
        <v>1868</v>
      </c>
      <c r="K471" t="s">
        <v>74</v>
      </c>
      <c r="L471" t="s">
        <v>74</v>
      </c>
      <c r="M471" t="s">
        <v>77</v>
      </c>
      <c r="N471" t="s">
        <v>78</v>
      </c>
      <c r="O471" t="s">
        <v>74</v>
      </c>
      <c r="P471" t="s">
        <v>74</v>
      </c>
      <c r="Q471" t="s">
        <v>74</v>
      </c>
      <c r="R471" t="s">
        <v>74</v>
      </c>
      <c r="S471" t="s">
        <v>74</v>
      </c>
      <c r="T471" t="s">
        <v>74</v>
      </c>
      <c r="U471" t="s">
        <v>7128</v>
      </c>
      <c r="V471" t="s">
        <v>7129</v>
      </c>
      <c r="W471" t="s">
        <v>7130</v>
      </c>
      <c r="X471" t="s">
        <v>5320</v>
      </c>
      <c r="Y471" t="s">
        <v>7131</v>
      </c>
      <c r="Z471" t="s">
        <v>7132</v>
      </c>
      <c r="AA471" t="s">
        <v>7133</v>
      </c>
      <c r="AB471" t="s">
        <v>7134</v>
      </c>
      <c r="AC471" t="s">
        <v>74</v>
      </c>
      <c r="AD471" t="s">
        <v>74</v>
      </c>
      <c r="AE471" t="s">
        <v>74</v>
      </c>
      <c r="AF471" t="s">
        <v>74</v>
      </c>
      <c r="AG471">
        <v>41</v>
      </c>
      <c r="AH471">
        <v>34</v>
      </c>
      <c r="AI471">
        <v>42</v>
      </c>
      <c r="AJ471">
        <v>0</v>
      </c>
      <c r="AK471">
        <v>6</v>
      </c>
      <c r="AL471" t="s">
        <v>527</v>
      </c>
      <c r="AM471" t="s">
        <v>528</v>
      </c>
      <c r="AN471" t="s">
        <v>529</v>
      </c>
      <c r="AO471" t="s">
        <v>1877</v>
      </c>
      <c r="AP471" t="s">
        <v>74</v>
      </c>
      <c r="AQ471" t="s">
        <v>74</v>
      </c>
      <c r="AR471" t="s">
        <v>1879</v>
      </c>
      <c r="AS471" t="s">
        <v>1880</v>
      </c>
      <c r="AT471" t="s">
        <v>7135</v>
      </c>
      <c r="AU471">
        <v>2005</v>
      </c>
      <c r="AV471">
        <v>110</v>
      </c>
      <c r="AW471" t="s">
        <v>7136</v>
      </c>
      <c r="AX471" t="s">
        <v>74</v>
      </c>
      <c r="AY471" t="s">
        <v>74</v>
      </c>
      <c r="AZ471" t="s">
        <v>74</v>
      </c>
      <c r="BA471" t="s">
        <v>74</v>
      </c>
      <c r="BB471" t="s">
        <v>74</v>
      </c>
      <c r="BC471" t="s">
        <v>74</v>
      </c>
      <c r="BD471" t="s">
        <v>7137</v>
      </c>
      <c r="BE471" t="s">
        <v>7138</v>
      </c>
      <c r="BF471" t="str">
        <f>HYPERLINK("http://dx.doi.org/10.1029/2004JD005234","http://dx.doi.org/10.1029/2004JD005234")</f>
        <v>http://dx.doi.org/10.1029/2004JD005234</v>
      </c>
      <c r="BG471" t="s">
        <v>74</v>
      </c>
      <c r="BH471" t="s">
        <v>74</v>
      </c>
      <c r="BI471">
        <v>12</v>
      </c>
      <c r="BJ471" t="s">
        <v>401</v>
      </c>
      <c r="BK471" t="s">
        <v>95</v>
      </c>
      <c r="BL471" t="s">
        <v>401</v>
      </c>
      <c r="BM471" t="s">
        <v>7139</v>
      </c>
      <c r="BN471" t="s">
        <v>74</v>
      </c>
      <c r="BO471" t="s">
        <v>539</v>
      </c>
      <c r="BP471" t="s">
        <v>74</v>
      </c>
      <c r="BQ471" t="s">
        <v>74</v>
      </c>
      <c r="BR471" t="s">
        <v>97</v>
      </c>
      <c r="BS471" t="s">
        <v>7140</v>
      </c>
      <c r="BT471" t="str">
        <f>HYPERLINK("https%3A%2F%2Fwww.webofscience.com%2Fwos%2Fwoscc%2Ffull-record%2FWOS:000227214000004","View Full Record in Web of Science")</f>
        <v>View Full Record in Web of Science</v>
      </c>
    </row>
    <row r="472" spans="1:72" x14ac:dyDescent="0.15">
      <c r="A472" t="s">
        <v>72</v>
      </c>
      <c r="B472" t="s">
        <v>7141</v>
      </c>
      <c r="C472" t="s">
        <v>74</v>
      </c>
      <c r="D472" t="s">
        <v>74</v>
      </c>
      <c r="E472" t="s">
        <v>74</v>
      </c>
      <c r="F472" t="s">
        <v>7141</v>
      </c>
      <c r="G472" t="s">
        <v>74</v>
      </c>
      <c r="H472" t="s">
        <v>74</v>
      </c>
      <c r="I472" t="s">
        <v>7142</v>
      </c>
      <c r="J472" t="s">
        <v>2417</v>
      </c>
      <c r="K472" t="s">
        <v>74</v>
      </c>
      <c r="L472" t="s">
        <v>74</v>
      </c>
      <c r="M472" t="s">
        <v>77</v>
      </c>
      <c r="N472" t="s">
        <v>78</v>
      </c>
      <c r="O472" t="s">
        <v>74</v>
      </c>
      <c r="P472" t="s">
        <v>74</v>
      </c>
      <c r="Q472" t="s">
        <v>74</v>
      </c>
      <c r="R472" t="s">
        <v>74</v>
      </c>
      <c r="S472" t="s">
        <v>74</v>
      </c>
      <c r="T472" t="s">
        <v>7143</v>
      </c>
      <c r="U472" t="s">
        <v>74</v>
      </c>
      <c r="V472" t="s">
        <v>7144</v>
      </c>
      <c r="W472" t="s">
        <v>7145</v>
      </c>
      <c r="X472" t="s">
        <v>7146</v>
      </c>
      <c r="Y472" t="s">
        <v>7147</v>
      </c>
      <c r="Z472" t="s">
        <v>7148</v>
      </c>
      <c r="AA472" t="s">
        <v>7149</v>
      </c>
      <c r="AB472" t="s">
        <v>7150</v>
      </c>
      <c r="AC472" t="s">
        <v>74</v>
      </c>
      <c r="AD472" t="s">
        <v>74</v>
      </c>
      <c r="AE472" t="s">
        <v>74</v>
      </c>
      <c r="AF472" t="s">
        <v>74</v>
      </c>
      <c r="AG472">
        <v>9</v>
      </c>
      <c r="AH472">
        <v>4</v>
      </c>
      <c r="AI472">
        <v>4</v>
      </c>
      <c r="AJ472">
        <v>0</v>
      </c>
      <c r="AK472">
        <v>1</v>
      </c>
      <c r="AL472" t="s">
        <v>2425</v>
      </c>
      <c r="AM472" t="s">
        <v>2426</v>
      </c>
      <c r="AN472" t="s">
        <v>7151</v>
      </c>
      <c r="AO472" t="s">
        <v>2428</v>
      </c>
      <c r="AP472" t="s">
        <v>74</v>
      </c>
      <c r="AQ472" t="s">
        <v>74</v>
      </c>
      <c r="AR472" t="s">
        <v>2417</v>
      </c>
      <c r="AS472" t="s">
        <v>2429</v>
      </c>
      <c r="AT472" t="s">
        <v>7135</v>
      </c>
      <c r="AU472">
        <v>2005</v>
      </c>
      <c r="AV472" t="s">
        <v>74</v>
      </c>
      <c r="AW472">
        <v>862</v>
      </c>
      <c r="AX472" t="s">
        <v>74</v>
      </c>
      <c r="AY472" t="s">
        <v>74</v>
      </c>
      <c r="AZ472" t="s">
        <v>74</v>
      </c>
      <c r="BA472" t="s">
        <v>74</v>
      </c>
      <c r="BB472">
        <v>1</v>
      </c>
      <c r="BC472">
        <v>14</v>
      </c>
      <c r="BD472" t="s">
        <v>74</v>
      </c>
      <c r="BE472" t="s">
        <v>74</v>
      </c>
      <c r="BF472" t="s">
        <v>74</v>
      </c>
      <c r="BG472" t="s">
        <v>74</v>
      </c>
      <c r="BH472" t="s">
        <v>74</v>
      </c>
      <c r="BI472">
        <v>14</v>
      </c>
      <c r="BJ472" t="s">
        <v>2430</v>
      </c>
      <c r="BK472" t="s">
        <v>95</v>
      </c>
      <c r="BL472" t="s">
        <v>2430</v>
      </c>
      <c r="BM472" t="s">
        <v>7152</v>
      </c>
      <c r="BN472" t="s">
        <v>74</v>
      </c>
      <c r="BO472" t="s">
        <v>74</v>
      </c>
      <c r="BP472" t="s">
        <v>74</v>
      </c>
      <c r="BQ472" t="s">
        <v>74</v>
      </c>
      <c r="BR472" t="s">
        <v>97</v>
      </c>
      <c r="BS472" t="s">
        <v>7153</v>
      </c>
      <c r="BT472" t="str">
        <f>HYPERLINK("https%3A%2F%2Fwww.webofscience.com%2Fwos%2Fwoscc%2Ffull-record%2FWOS:000227397500001","View Full Record in Web of Science")</f>
        <v>View Full Record in Web of Science</v>
      </c>
    </row>
    <row r="473" spans="1:72" x14ac:dyDescent="0.15">
      <c r="A473" t="s">
        <v>72</v>
      </c>
      <c r="B473" t="s">
        <v>7154</v>
      </c>
      <c r="C473" t="s">
        <v>74</v>
      </c>
      <c r="D473" t="s">
        <v>74</v>
      </c>
      <c r="E473" t="s">
        <v>74</v>
      </c>
      <c r="F473" t="s">
        <v>7154</v>
      </c>
      <c r="G473" t="s">
        <v>74</v>
      </c>
      <c r="H473" t="s">
        <v>74</v>
      </c>
      <c r="I473" t="s">
        <v>7155</v>
      </c>
      <c r="J473" t="s">
        <v>2384</v>
      </c>
      <c r="K473" t="s">
        <v>74</v>
      </c>
      <c r="L473" t="s">
        <v>74</v>
      </c>
      <c r="M473" t="s">
        <v>77</v>
      </c>
      <c r="N473" t="s">
        <v>365</v>
      </c>
      <c r="O473" t="s">
        <v>74</v>
      </c>
      <c r="P473" t="s">
        <v>74</v>
      </c>
      <c r="Q473" t="s">
        <v>74</v>
      </c>
      <c r="R473" t="s">
        <v>74</v>
      </c>
      <c r="S473" t="s">
        <v>74</v>
      </c>
      <c r="T473" t="s">
        <v>7156</v>
      </c>
      <c r="U473" t="s">
        <v>7157</v>
      </c>
      <c r="V473" t="s">
        <v>7158</v>
      </c>
      <c r="W473" t="s">
        <v>7159</v>
      </c>
      <c r="X473" t="s">
        <v>7160</v>
      </c>
      <c r="Y473" t="s">
        <v>7161</v>
      </c>
      <c r="Z473" t="s">
        <v>7162</v>
      </c>
      <c r="AA473" t="s">
        <v>7163</v>
      </c>
      <c r="AB473" t="s">
        <v>7164</v>
      </c>
      <c r="AC473" t="s">
        <v>74</v>
      </c>
      <c r="AD473" t="s">
        <v>74</v>
      </c>
      <c r="AE473" t="s">
        <v>74</v>
      </c>
      <c r="AF473" t="s">
        <v>74</v>
      </c>
      <c r="AG473">
        <v>207</v>
      </c>
      <c r="AH473">
        <v>153</v>
      </c>
      <c r="AI473">
        <v>168</v>
      </c>
      <c r="AJ473">
        <v>1</v>
      </c>
      <c r="AK473">
        <v>18</v>
      </c>
      <c r="AL473" t="s">
        <v>527</v>
      </c>
      <c r="AM473" t="s">
        <v>528</v>
      </c>
      <c r="AN473" t="s">
        <v>529</v>
      </c>
      <c r="AO473" t="s">
        <v>74</v>
      </c>
      <c r="AP473" t="s">
        <v>2393</v>
      </c>
      <c r="AQ473" t="s">
        <v>74</v>
      </c>
      <c r="AR473" t="s">
        <v>2394</v>
      </c>
      <c r="AS473" t="s">
        <v>2395</v>
      </c>
      <c r="AT473" t="s">
        <v>7165</v>
      </c>
      <c r="AU473">
        <v>2005</v>
      </c>
      <c r="AV473">
        <v>6</v>
      </c>
      <c r="AW473" t="s">
        <v>74</v>
      </c>
      <c r="AX473" t="s">
        <v>74</v>
      </c>
      <c r="AY473" t="s">
        <v>74</v>
      </c>
      <c r="AZ473" t="s">
        <v>74</v>
      </c>
      <c r="BA473" t="s">
        <v>74</v>
      </c>
      <c r="BB473" t="s">
        <v>74</v>
      </c>
      <c r="BC473" t="s">
        <v>74</v>
      </c>
      <c r="BD473" t="s">
        <v>7166</v>
      </c>
      <c r="BE473" t="s">
        <v>7167</v>
      </c>
      <c r="BF473" t="str">
        <f>HYPERLINK("http://dx.doi.org/10.1029/2004GC000723","http://dx.doi.org/10.1029/2004GC000723")</f>
        <v>http://dx.doi.org/10.1029/2004GC000723</v>
      </c>
      <c r="BG473" t="s">
        <v>74</v>
      </c>
      <c r="BH473" t="s">
        <v>74</v>
      </c>
      <c r="BI473">
        <v>26</v>
      </c>
      <c r="BJ473" t="s">
        <v>381</v>
      </c>
      <c r="BK473" t="s">
        <v>95</v>
      </c>
      <c r="BL473" t="s">
        <v>381</v>
      </c>
      <c r="BM473" t="s">
        <v>7168</v>
      </c>
      <c r="BN473" t="s">
        <v>74</v>
      </c>
      <c r="BO473" t="s">
        <v>74</v>
      </c>
      <c r="BP473" t="s">
        <v>74</v>
      </c>
      <c r="BQ473" t="s">
        <v>74</v>
      </c>
      <c r="BR473" t="s">
        <v>97</v>
      </c>
      <c r="BS473" t="s">
        <v>7169</v>
      </c>
      <c r="BT473" t="str">
        <f>HYPERLINK("https%3A%2F%2Fwww.webofscience.com%2Fwos%2Fwoscc%2Ffull-record%2FWOS:000227212500001","View Full Record in Web of Science")</f>
        <v>View Full Record in Web of Science</v>
      </c>
    </row>
    <row r="474" spans="1:72" x14ac:dyDescent="0.15">
      <c r="A474" t="s">
        <v>72</v>
      </c>
      <c r="B474" t="s">
        <v>7170</v>
      </c>
      <c r="C474" t="s">
        <v>74</v>
      </c>
      <c r="D474" t="s">
        <v>74</v>
      </c>
      <c r="E474" t="s">
        <v>74</v>
      </c>
      <c r="F474" t="s">
        <v>7170</v>
      </c>
      <c r="G474" t="s">
        <v>74</v>
      </c>
      <c r="H474" t="s">
        <v>74</v>
      </c>
      <c r="I474" t="s">
        <v>7171</v>
      </c>
      <c r="J474" t="s">
        <v>425</v>
      </c>
      <c r="K474" t="s">
        <v>74</v>
      </c>
      <c r="L474" t="s">
        <v>74</v>
      </c>
      <c r="M474" t="s">
        <v>77</v>
      </c>
      <c r="N474" t="s">
        <v>78</v>
      </c>
      <c r="O474" t="s">
        <v>74</v>
      </c>
      <c r="P474" t="s">
        <v>74</v>
      </c>
      <c r="Q474" t="s">
        <v>74</v>
      </c>
      <c r="R474" t="s">
        <v>74</v>
      </c>
      <c r="S474" t="s">
        <v>74</v>
      </c>
      <c r="T474" t="s">
        <v>7172</v>
      </c>
      <c r="U474" t="s">
        <v>7173</v>
      </c>
      <c r="V474" t="s">
        <v>7174</v>
      </c>
      <c r="W474" t="s">
        <v>7175</v>
      </c>
      <c r="X474" t="s">
        <v>7176</v>
      </c>
      <c r="Y474" t="s">
        <v>7177</v>
      </c>
      <c r="Z474" t="s">
        <v>7178</v>
      </c>
      <c r="AA474" t="s">
        <v>7179</v>
      </c>
      <c r="AB474" t="s">
        <v>7180</v>
      </c>
      <c r="AC474" t="s">
        <v>74</v>
      </c>
      <c r="AD474" t="s">
        <v>74</v>
      </c>
      <c r="AE474" t="s">
        <v>74</v>
      </c>
      <c r="AF474" t="s">
        <v>74</v>
      </c>
      <c r="AG474">
        <v>79</v>
      </c>
      <c r="AH474">
        <v>80</v>
      </c>
      <c r="AI474">
        <v>92</v>
      </c>
      <c r="AJ474">
        <v>0</v>
      </c>
      <c r="AK474">
        <v>30</v>
      </c>
      <c r="AL474" t="s">
        <v>435</v>
      </c>
      <c r="AM474" t="s">
        <v>436</v>
      </c>
      <c r="AN474" t="s">
        <v>437</v>
      </c>
      <c r="AO474" t="s">
        <v>438</v>
      </c>
      <c r="AP474" t="s">
        <v>439</v>
      </c>
      <c r="AQ474" t="s">
        <v>74</v>
      </c>
      <c r="AR474" t="s">
        <v>440</v>
      </c>
      <c r="AS474" t="s">
        <v>441</v>
      </c>
      <c r="AT474" t="s">
        <v>7181</v>
      </c>
      <c r="AU474">
        <v>2005</v>
      </c>
      <c r="AV474">
        <v>230</v>
      </c>
      <c r="AW474" t="s">
        <v>961</v>
      </c>
      <c r="AX474" t="s">
        <v>74</v>
      </c>
      <c r="AY474" t="s">
        <v>74</v>
      </c>
      <c r="AZ474" t="s">
        <v>74</v>
      </c>
      <c r="BA474" t="s">
        <v>74</v>
      </c>
      <c r="BB474">
        <v>301</v>
      </c>
      <c r="BC474">
        <v>317</v>
      </c>
      <c r="BD474" t="s">
        <v>74</v>
      </c>
      <c r="BE474" t="s">
        <v>7182</v>
      </c>
      <c r="BF474" t="str">
        <f>HYPERLINK("http://dx.doi.org/10.1016/j.epsl.2004.10.024","http://dx.doi.org/10.1016/j.epsl.2004.10.024")</f>
        <v>http://dx.doi.org/10.1016/j.epsl.2004.10.024</v>
      </c>
      <c r="BG474" t="s">
        <v>74</v>
      </c>
      <c r="BH474" t="s">
        <v>74</v>
      </c>
      <c r="BI474">
        <v>17</v>
      </c>
      <c r="BJ474" t="s">
        <v>381</v>
      </c>
      <c r="BK474" t="s">
        <v>95</v>
      </c>
      <c r="BL474" t="s">
        <v>381</v>
      </c>
      <c r="BM474" t="s">
        <v>7183</v>
      </c>
      <c r="BN474" t="s">
        <v>74</v>
      </c>
      <c r="BO474" t="s">
        <v>74</v>
      </c>
      <c r="BP474" t="s">
        <v>74</v>
      </c>
      <c r="BQ474" t="s">
        <v>74</v>
      </c>
      <c r="BR474" t="s">
        <v>97</v>
      </c>
      <c r="BS474" t="s">
        <v>7184</v>
      </c>
      <c r="BT474" t="str">
        <f>HYPERLINK("https%3A%2F%2Fwww.webofscience.com%2Fwos%2Fwoscc%2Ffull-record%2FWOS:000227004800006","View Full Record in Web of Science")</f>
        <v>View Full Record in Web of Science</v>
      </c>
    </row>
    <row r="475" spans="1:72" x14ac:dyDescent="0.15">
      <c r="A475" t="s">
        <v>72</v>
      </c>
      <c r="B475" t="s">
        <v>7185</v>
      </c>
      <c r="C475" t="s">
        <v>74</v>
      </c>
      <c r="D475" t="s">
        <v>74</v>
      </c>
      <c r="E475" t="s">
        <v>74</v>
      </c>
      <c r="F475" t="s">
        <v>7185</v>
      </c>
      <c r="G475" t="s">
        <v>74</v>
      </c>
      <c r="H475" t="s">
        <v>74</v>
      </c>
      <c r="I475" t="s">
        <v>7186</v>
      </c>
      <c r="J475" t="s">
        <v>1512</v>
      </c>
      <c r="K475" t="s">
        <v>74</v>
      </c>
      <c r="L475" t="s">
        <v>74</v>
      </c>
      <c r="M475" t="s">
        <v>77</v>
      </c>
      <c r="N475" t="s">
        <v>78</v>
      </c>
      <c r="O475" t="s">
        <v>74</v>
      </c>
      <c r="P475" t="s">
        <v>74</v>
      </c>
      <c r="Q475" t="s">
        <v>74</v>
      </c>
      <c r="R475" t="s">
        <v>74</v>
      </c>
      <c r="S475" t="s">
        <v>74</v>
      </c>
      <c r="T475" t="s">
        <v>74</v>
      </c>
      <c r="U475" t="s">
        <v>7187</v>
      </c>
      <c r="V475" t="s">
        <v>7188</v>
      </c>
      <c r="W475" t="s">
        <v>7189</v>
      </c>
      <c r="X475" t="s">
        <v>7190</v>
      </c>
      <c r="Y475" t="s">
        <v>7191</v>
      </c>
      <c r="Z475" t="s">
        <v>7192</v>
      </c>
      <c r="AA475" t="s">
        <v>7193</v>
      </c>
      <c r="AB475" t="s">
        <v>7194</v>
      </c>
      <c r="AC475" t="s">
        <v>74</v>
      </c>
      <c r="AD475" t="s">
        <v>74</v>
      </c>
      <c r="AE475" t="s">
        <v>74</v>
      </c>
      <c r="AF475" t="s">
        <v>74</v>
      </c>
      <c r="AG475">
        <v>72</v>
      </c>
      <c r="AH475">
        <v>65</v>
      </c>
      <c r="AI475">
        <v>74</v>
      </c>
      <c r="AJ475">
        <v>5</v>
      </c>
      <c r="AK475">
        <v>89</v>
      </c>
      <c r="AL475" t="s">
        <v>1519</v>
      </c>
      <c r="AM475" t="s">
        <v>528</v>
      </c>
      <c r="AN475" t="s">
        <v>1520</v>
      </c>
      <c r="AO475" t="s">
        <v>1521</v>
      </c>
      <c r="AP475" t="s">
        <v>74</v>
      </c>
      <c r="AQ475" t="s">
        <v>74</v>
      </c>
      <c r="AR475" t="s">
        <v>1523</v>
      </c>
      <c r="AS475" t="s">
        <v>1524</v>
      </c>
      <c r="AT475" t="s">
        <v>7181</v>
      </c>
      <c r="AU475">
        <v>2005</v>
      </c>
      <c r="AV475">
        <v>39</v>
      </c>
      <c r="AW475">
        <v>4</v>
      </c>
      <c r="AX475" t="s">
        <v>74</v>
      </c>
      <c r="AY475" t="s">
        <v>74</v>
      </c>
      <c r="AZ475" t="s">
        <v>74</v>
      </c>
      <c r="BA475" t="s">
        <v>74</v>
      </c>
      <c r="BB475">
        <v>1101</v>
      </c>
      <c r="BC475">
        <v>1110</v>
      </c>
      <c r="BD475" t="s">
        <v>74</v>
      </c>
      <c r="BE475" t="s">
        <v>7195</v>
      </c>
      <c r="BF475" t="str">
        <f>HYPERLINK("http://dx.doi.org/10.1021/es048855p","http://dx.doi.org/10.1021/es048855p")</f>
        <v>http://dx.doi.org/10.1021/es048855p</v>
      </c>
      <c r="BG475" t="s">
        <v>74</v>
      </c>
      <c r="BH475" t="s">
        <v>74</v>
      </c>
      <c r="BI475">
        <v>10</v>
      </c>
      <c r="BJ475" t="s">
        <v>1526</v>
      </c>
      <c r="BK475" t="s">
        <v>95</v>
      </c>
      <c r="BL475" t="s">
        <v>1527</v>
      </c>
      <c r="BM475" t="s">
        <v>7196</v>
      </c>
      <c r="BN475">
        <v>15773483</v>
      </c>
      <c r="BO475" t="s">
        <v>74</v>
      </c>
      <c r="BP475" t="s">
        <v>74</v>
      </c>
      <c r="BQ475" t="s">
        <v>74</v>
      </c>
      <c r="BR475" t="s">
        <v>97</v>
      </c>
      <c r="BS475" t="s">
        <v>7197</v>
      </c>
      <c r="BT475" t="str">
        <f>HYPERLINK("https%3A%2F%2Fwww.webofscience.com%2Fwos%2Fwoscc%2Ffull-record%2FWOS:000227001700025","View Full Record in Web of Science")</f>
        <v>View Full Record in Web of Science</v>
      </c>
    </row>
    <row r="476" spans="1:72" x14ac:dyDescent="0.15">
      <c r="A476" t="s">
        <v>72</v>
      </c>
      <c r="B476" t="s">
        <v>7198</v>
      </c>
      <c r="C476" t="s">
        <v>74</v>
      </c>
      <c r="D476" t="s">
        <v>74</v>
      </c>
      <c r="E476" t="s">
        <v>74</v>
      </c>
      <c r="F476" t="s">
        <v>7198</v>
      </c>
      <c r="G476" t="s">
        <v>74</v>
      </c>
      <c r="H476" t="s">
        <v>74</v>
      </c>
      <c r="I476" t="s">
        <v>7199</v>
      </c>
      <c r="J476" t="s">
        <v>2569</v>
      </c>
      <c r="K476" t="s">
        <v>74</v>
      </c>
      <c r="L476" t="s">
        <v>74</v>
      </c>
      <c r="M476" t="s">
        <v>77</v>
      </c>
      <c r="N476" t="s">
        <v>78</v>
      </c>
      <c r="O476" t="s">
        <v>74</v>
      </c>
      <c r="P476" t="s">
        <v>74</v>
      </c>
      <c r="Q476" t="s">
        <v>74</v>
      </c>
      <c r="R476" t="s">
        <v>74</v>
      </c>
      <c r="S476" t="s">
        <v>74</v>
      </c>
      <c r="T476" t="s">
        <v>74</v>
      </c>
      <c r="U476" t="s">
        <v>7200</v>
      </c>
      <c r="V476" t="s">
        <v>7201</v>
      </c>
      <c r="W476" t="s">
        <v>7202</v>
      </c>
      <c r="X476" t="s">
        <v>7203</v>
      </c>
      <c r="Y476" t="s">
        <v>7204</v>
      </c>
      <c r="Z476" t="s">
        <v>7205</v>
      </c>
      <c r="AA476" t="s">
        <v>7206</v>
      </c>
      <c r="AB476" t="s">
        <v>74</v>
      </c>
      <c r="AC476" t="s">
        <v>74</v>
      </c>
      <c r="AD476" t="s">
        <v>74</v>
      </c>
      <c r="AE476" t="s">
        <v>74</v>
      </c>
      <c r="AF476" t="s">
        <v>74</v>
      </c>
      <c r="AG476">
        <v>39</v>
      </c>
      <c r="AH476">
        <v>39</v>
      </c>
      <c r="AI476">
        <v>45</v>
      </c>
      <c r="AJ476">
        <v>1</v>
      </c>
      <c r="AK476">
        <v>27</v>
      </c>
      <c r="AL476" t="s">
        <v>255</v>
      </c>
      <c r="AM476" t="s">
        <v>256</v>
      </c>
      <c r="AN476" t="s">
        <v>257</v>
      </c>
      <c r="AO476" t="s">
        <v>2578</v>
      </c>
      <c r="AP476" t="s">
        <v>3316</v>
      </c>
      <c r="AQ476" t="s">
        <v>74</v>
      </c>
      <c r="AR476" t="s">
        <v>2579</v>
      </c>
      <c r="AS476" t="s">
        <v>2580</v>
      </c>
      <c r="AT476" t="s">
        <v>7181</v>
      </c>
      <c r="AU476">
        <v>2005</v>
      </c>
      <c r="AV476">
        <v>69</v>
      </c>
      <c r="AW476">
        <v>4</v>
      </c>
      <c r="AX476" t="s">
        <v>74</v>
      </c>
      <c r="AY476" t="s">
        <v>74</v>
      </c>
      <c r="AZ476" t="s">
        <v>74</v>
      </c>
      <c r="BA476" t="s">
        <v>74</v>
      </c>
      <c r="BB476">
        <v>839</v>
      </c>
      <c r="BC476">
        <v>850</v>
      </c>
      <c r="BD476" t="s">
        <v>74</v>
      </c>
      <c r="BE476" t="s">
        <v>7207</v>
      </c>
      <c r="BF476" t="str">
        <f>HYPERLINK("http://dx.doi.org/10.1016/j.gca.2004.08.001","http://dx.doi.org/10.1016/j.gca.2004.08.001")</f>
        <v>http://dx.doi.org/10.1016/j.gca.2004.08.001</v>
      </c>
      <c r="BG476" t="s">
        <v>74</v>
      </c>
      <c r="BH476" t="s">
        <v>74</v>
      </c>
      <c r="BI476">
        <v>12</v>
      </c>
      <c r="BJ476" t="s">
        <v>381</v>
      </c>
      <c r="BK476" t="s">
        <v>95</v>
      </c>
      <c r="BL476" t="s">
        <v>381</v>
      </c>
      <c r="BM476" t="s">
        <v>7208</v>
      </c>
      <c r="BN476" t="s">
        <v>74</v>
      </c>
      <c r="BO476" t="s">
        <v>74</v>
      </c>
      <c r="BP476" t="s">
        <v>74</v>
      </c>
      <c r="BQ476" t="s">
        <v>74</v>
      </c>
      <c r="BR476" t="s">
        <v>97</v>
      </c>
      <c r="BS476" t="s">
        <v>7209</v>
      </c>
      <c r="BT476" t="str">
        <f>HYPERLINK("https%3A%2F%2Fwww.webofscience.com%2Fwos%2Fwoscc%2Ffull-record%2FWOS:000227170500004","View Full Record in Web of Science")</f>
        <v>View Full Record in Web of Science</v>
      </c>
    </row>
    <row r="477" spans="1:72" x14ac:dyDescent="0.15">
      <c r="A477" t="s">
        <v>72</v>
      </c>
      <c r="B477" t="s">
        <v>7210</v>
      </c>
      <c r="C477" t="s">
        <v>74</v>
      </c>
      <c r="D477" t="s">
        <v>74</v>
      </c>
      <c r="E477" t="s">
        <v>74</v>
      </c>
      <c r="F477" t="s">
        <v>7210</v>
      </c>
      <c r="G477" t="s">
        <v>74</v>
      </c>
      <c r="H477" t="s">
        <v>74</v>
      </c>
      <c r="I477" t="s">
        <v>7211</v>
      </c>
      <c r="J477" t="s">
        <v>2569</v>
      </c>
      <c r="K477" t="s">
        <v>74</v>
      </c>
      <c r="L477" t="s">
        <v>74</v>
      </c>
      <c r="M477" t="s">
        <v>77</v>
      </c>
      <c r="N477" t="s">
        <v>78</v>
      </c>
      <c r="O477" t="s">
        <v>74</v>
      </c>
      <c r="P477" t="s">
        <v>74</v>
      </c>
      <c r="Q477" t="s">
        <v>74</v>
      </c>
      <c r="R477" t="s">
        <v>74</v>
      </c>
      <c r="S477" t="s">
        <v>74</v>
      </c>
      <c r="T477" t="s">
        <v>74</v>
      </c>
      <c r="U477" t="s">
        <v>7212</v>
      </c>
      <c r="V477" t="s">
        <v>7213</v>
      </c>
      <c r="W477" t="s">
        <v>7214</v>
      </c>
      <c r="X477" t="s">
        <v>7215</v>
      </c>
      <c r="Y477" t="s">
        <v>7216</v>
      </c>
      <c r="Z477" t="s">
        <v>7217</v>
      </c>
      <c r="AA477" t="s">
        <v>7218</v>
      </c>
      <c r="AB477" t="s">
        <v>7219</v>
      </c>
      <c r="AC477" t="s">
        <v>74</v>
      </c>
      <c r="AD477" t="s">
        <v>74</v>
      </c>
      <c r="AE477" t="s">
        <v>74</v>
      </c>
      <c r="AF477" t="s">
        <v>74</v>
      </c>
      <c r="AG477">
        <v>69</v>
      </c>
      <c r="AH477">
        <v>191</v>
      </c>
      <c r="AI477">
        <v>214</v>
      </c>
      <c r="AJ477">
        <v>1</v>
      </c>
      <c r="AK477">
        <v>68</v>
      </c>
      <c r="AL477" t="s">
        <v>255</v>
      </c>
      <c r="AM477" t="s">
        <v>256</v>
      </c>
      <c r="AN477" t="s">
        <v>257</v>
      </c>
      <c r="AO477" t="s">
        <v>2578</v>
      </c>
      <c r="AP477" t="s">
        <v>3316</v>
      </c>
      <c r="AQ477" t="s">
        <v>74</v>
      </c>
      <c r="AR477" t="s">
        <v>2579</v>
      </c>
      <c r="AS477" t="s">
        <v>2580</v>
      </c>
      <c r="AT477" t="s">
        <v>7181</v>
      </c>
      <c r="AU477">
        <v>2005</v>
      </c>
      <c r="AV477">
        <v>69</v>
      </c>
      <c r="AW477">
        <v>4</v>
      </c>
      <c r="AX477" t="s">
        <v>74</v>
      </c>
      <c r="AY477" t="s">
        <v>74</v>
      </c>
      <c r="AZ477" t="s">
        <v>74</v>
      </c>
      <c r="BA477" t="s">
        <v>74</v>
      </c>
      <c r="BB477">
        <v>933</v>
      </c>
      <c r="BC477">
        <v>952</v>
      </c>
      <c r="BD477" t="s">
        <v>74</v>
      </c>
      <c r="BE477" t="s">
        <v>7220</v>
      </c>
      <c r="BF477" t="str">
        <f>HYPERLINK("http://dx.doi.org/10.1016/j.gca.2004.07.034","http://dx.doi.org/10.1016/j.gca.2004.07.034")</f>
        <v>http://dx.doi.org/10.1016/j.gca.2004.07.034</v>
      </c>
      <c r="BG477" t="s">
        <v>74</v>
      </c>
      <c r="BH477" t="s">
        <v>74</v>
      </c>
      <c r="BI477">
        <v>20</v>
      </c>
      <c r="BJ477" t="s">
        <v>381</v>
      </c>
      <c r="BK477" t="s">
        <v>95</v>
      </c>
      <c r="BL477" t="s">
        <v>381</v>
      </c>
      <c r="BM477" t="s">
        <v>7208</v>
      </c>
      <c r="BN477" t="s">
        <v>74</v>
      </c>
      <c r="BO477" t="s">
        <v>74</v>
      </c>
      <c r="BP477" t="s">
        <v>74</v>
      </c>
      <c r="BQ477" t="s">
        <v>74</v>
      </c>
      <c r="BR477" t="s">
        <v>97</v>
      </c>
      <c r="BS477" t="s">
        <v>7221</v>
      </c>
      <c r="BT477" t="str">
        <f>HYPERLINK("https%3A%2F%2Fwww.webofscience.com%2Fwos%2Fwoscc%2Ffull-record%2FWOS:000227170500010","View Full Record in Web of Science")</f>
        <v>View Full Record in Web of Science</v>
      </c>
    </row>
    <row r="478" spans="1:72" x14ac:dyDescent="0.15">
      <c r="A478" t="s">
        <v>72</v>
      </c>
      <c r="B478" t="s">
        <v>7222</v>
      </c>
      <c r="C478" t="s">
        <v>74</v>
      </c>
      <c r="D478" t="s">
        <v>74</v>
      </c>
      <c r="E478" t="s">
        <v>74</v>
      </c>
      <c r="F478" t="s">
        <v>7222</v>
      </c>
      <c r="G478" t="s">
        <v>74</v>
      </c>
      <c r="H478" t="s">
        <v>74</v>
      </c>
      <c r="I478" t="s">
        <v>7223</v>
      </c>
      <c r="J478" t="s">
        <v>519</v>
      </c>
      <c r="K478" t="s">
        <v>74</v>
      </c>
      <c r="L478" t="s">
        <v>74</v>
      </c>
      <c r="M478" t="s">
        <v>77</v>
      </c>
      <c r="N478" t="s">
        <v>78</v>
      </c>
      <c r="O478" t="s">
        <v>74</v>
      </c>
      <c r="P478" t="s">
        <v>74</v>
      </c>
      <c r="Q478" t="s">
        <v>74</v>
      </c>
      <c r="R478" t="s">
        <v>74</v>
      </c>
      <c r="S478" t="s">
        <v>74</v>
      </c>
      <c r="T478" t="s">
        <v>74</v>
      </c>
      <c r="U478" t="s">
        <v>7224</v>
      </c>
      <c r="V478" t="s">
        <v>7225</v>
      </c>
      <c r="W478" t="s">
        <v>4109</v>
      </c>
      <c r="X478" t="s">
        <v>671</v>
      </c>
      <c r="Y478" t="s">
        <v>7226</v>
      </c>
      <c r="Z478" t="s">
        <v>7227</v>
      </c>
      <c r="AA478" t="s">
        <v>7228</v>
      </c>
      <c r="AB478" t="s">
        <v>7229</v>
      </c>
      <c r="AC478" t="s">
        <v>74</v>
      </c>
      <c r="AD478" t="s">
        <v>74</v>
      </c>
      <c r="AE478" t="s">
        <v>74</v>
      </c>
      <c r="AF478" t="s">
        <v>74</v>
      </c>
      <c r="AG478">
        <v>19</v>
      </c>
      <c r="AH478">
        <v>6</v>
      </c>
      <c r="AI478">
        <v>7</v>
      </c>
      <c r="AJ478">
        <v>0</v>
      </c>
      <c r="AK478">
        <v>0</v>
      </c>
      <c r="AL478" t="s">
        <v>527</v>
      </c>
      <c r="AM478" t="s">
        <v>528</v>
      </c>
      <c r="AN478" t="s">
        <v>529</v>
      </c>
      <c r="AO478" t="s">
        <v>530</v>
      </c>
      <c r="AP478" t="s">
        <v>531</v>
      </c>
      <c r="AQ478" t="s">
        <v>74</v>
      </c>
      <c r="AR478" t="s">
        <v>532</v>
      </c>
      <c r="AS478" t="s">
        <v>533</v>
      </c>
      <c r="AT478" t="s">
        <v>7181</v>
      </c>
      <c r="AU478">
        <v>2005</v>
      </c>
      <c r="AV478">
        <v>32</v>
      </c>
      <c r="AW478">
        <v>3</v>
      </c>
      <c r="AX478" t="s">
        <v>74</v>
      </c>
      <c r="AY478" t="s">
        <v>74</v>
      </c>
      <c r="AZ478" t="s">
        <v>74</v>
      </c>
      <c r="BA478" t="s">
        <v>74</v>
      </c>
      <c r="BB478" t="s">
        <v>74</v>
      </c>
      <c r="BC478" t="s">
        <v>74</v>
      </c>
      <c r="BD478" t="s">
        <v>7230</v>
      </c>
      <c r="BE478" t="s">
        <v>7231</v>
      </c>
      <c r="BF478" t="str">
        <f>HYPERLINK("http://dx.doi.org/10.1029/2004GL021779","http://dx.doi.org/10.1029/2004GL021779")</f>
        <v>http://dx.doi.org/10.1029/2004GL021779</v>
      </c>
      <c r="BG478" t="s">
        <v>74</v>
      </c>
      <c r="BH478" t="s">
        <v>74</v>
      </c>
      <c r="BI478">
        <v>4</v>
      </c>
      <c r="BJ478" t="s">
        <v>537</v>
      </c>
      <c r="BK478" t="s">
        <v>95</v>
      </c>
      <c r="BL478" t="s">
        <v>307</v>
      </c>
      <c r="BM478" t="s">
        <v>7232</v>
      </c>
      <c r="BN478" t="s">
        <v>74</v>
      </c>
      <c r="BO478" t="s">
        <v>539</v>
      </c>
      <c r="BP478" t="s">
        <v>74</v>
      </c>
      <c r="BQ478" t="s">
        <v>74</v>
      </c>
      <c r="BR478" t="s">
        <v>97</v>
      </c>
      <c r="BS478" t="s">
        <v>7233</v>
      </c>
      <c r="BT478" t="str">
        <f>HYPERLINK("https%3A%2F%2Fwww.webofscience.com%2Fwos%2Fwoscc%2Ffull-record%2FWOS:000227212600003","View Full Record in Web of Science")</f>
        <v>View Full Record in Web of Science</v>
      </c>
    </row>
    <row r="479" spans="1:72" x14ac:dyDescent="0.15">
      <c r="A479" t="s">
        <v>72</v>
      </c>
      <c r="B479" t="s">
        <v>7234</v>
      </c>
      <c r="C479" t="s">
        <v>74</v>
      </c>
      <c r="D479" t="s">
        <v>74</v>
      </c>
      <c r="E479" t="s">
        <v>74</v>
      </c>
      <c r="F479" t="s">
        <v>7234</v>
      </c>
      <c r="G479" t="s">
        <v>74</v>
      </c>
      <c r="H479" t="s">
        <v>74</v>
      </c>
      <c r="I479" t="s">
        <v>7235</v>
      </c>
      <c r="J479" t="s">
        <v>927</v>
      </c>
      <c r="K479" t="s">
        <v>74</v>
      </c>
      <c r="L479" t="s">
        <v>74</v>
      </c>
      <c r="M479" t="s">
        <v>77</v>
      </c>
      <c r="N479" t="s">
        <v>484</v>
      </c>
      <c r="O479" t="s">
        <v>74</v>
      </c>
      <c r="P479" t="s">
        <v>74</v>
      </c>
      <c r="Q479" t="s">
        <v>74</v>
      </c>
      <c r="R479" t="s">
        <v>74</v>
      </c>
      <c r="S479" t="s">
        <v>74</v>
      </c>
      <c r="T479" t="s">
        <v>74</v>
      </c>
      <c r="U479" t="s">
        <v>74</v>
      </c>
      <c r="V479" t="s">
        <v>74</v>
      </c>
      <c r="W479" t="s">
        <v>7236</v>
      </c>
      <c r="X479" t="s">
        <v>7237</v>
      </c>
      <c r="Y479" t="s">
        <v>7238</v>
      </c>
      <c r="Z479" t="s">
        <v>7239</v>
      </c>
      <c r="AA479" t="s">
        <v>7240</v>
      </c>
      <c r="AB479" t="s">
        <v>7241</v>
      </c>
      <c r="AC479" t="s">
        <v>74</v>
      </c>
      <c r="AD479" t="s">
        <v>74</v>
      </c>
      <c r="AE479" t="s">
        <v>74</v>
      </c>
      <c r="AF479" t="s">
        <v>74</v>
      </c>
      <c r="AG479">
        <v>1</v>
      </c>
      <c r="AH479">
        <v>0</v>
      </c>
      <c r="AI479">
        <v>0</v>
      </c>
      <c r="AJ479">
        <v>0</v>
      </c>
      <c r="AK479">
        <v>13</v>
      </c>
      <c r="AL479" t="s">
        <v>456</v>
      </c>
      <c r="AM479" t="s">
        <v>436</v>
      </c>
      <c r="AN479" t="s">
        <v>457</v>
      </c>
      <c r="AO479" t="s">
        <v>936</v>
      </c>
      <c r="AP479" t="s">
        <v>937</v>
      </c>
      <c r="AQ479" t="s">
        <v>74</v>
      </c>
      <c r="AR479" t="s">
        <v>938</v>
      </c>
      <c r="AS479" t="s">
        <v>939</v>
      </c>
      <c r="AT479" t="s">
        <v>7181</v>
      </c>
      <c r="AU479">
        <v>2005</v>
      </c>
      <c r="AV479">
        <v>315</v>
      </c>
      <c r="AW479">
        <v>1</v>
      </c>
      <c r="AX479" t="s">
        <v>74</v>
      </c>
      <c r="AY479" t="s">
        <v>74</v>
      </c>
      <c r="AZ479" t="s">
        <v>74</v>
      </c>
      <c r="BA479" t="s">
        <v>74</v>
      </c>
      <c r="BB479">
        <v>115</v>
      </c>
      <c r="BC479">
        <v>115</v>
      </c>
      <c r="BD479" t="s">
        <v>74</v>
      </c>
      <c r="BE479" t="s">
        <v>7242</v>
      </c>
      <c r="BF479" t="str">
        <f>HYPERLINK("http://dx.doi.org/10.1016/j.jembe.2005.01.002","http://dx.doi.org/10.1016/j.jembe.2005.01.002")</f>
        <v>http://dx.doi.org/10.1016/j.jembe.2005.01.002</v>
      </c>
      <c r="BG479" t="s">
        <v>74</v>
      </c>
      <c r="BH479" t="s">
        <v>74</v>
      </c>
      <c r="BI479">
        <v>1</v>
      </c>
      <c r="BJ479" t="s">
        <v>941</v>
      </c>
      <c r="BK479" t="s">
        <v>95</v>
      </c>
      <c r="BL479" t="s">
        <v>942</v>
      </c>
      <c r="BM479" t="s">
        <v>7243</v>
      </c>
      <c r="BN479" t="s">
        <v>74</v>
      </c>
      <c r="BO479" t="s">
        <v>539</v>
      </c>
      <c r="BP479" t="s">
        <v>74</v>
      </c>
      <c r="BQ479" t="s">
        <v>74</v>
      </c>
      <c r="BR479" t="s">
        <v>97</v>
      </c>
      <c r="BS479" t="s">
        <v>7244</v>
      </c>
      <c r="BT479" t="str">
        <f>HYPERLINK("https%3A%2F%2Fwww.webofscience.com%2Fwos%2Fwoscc%2Ffull-record%2FWOS:000227290100008","View Full Record in Web of Science")</f>
        <v>View Full Record in Web of Science</v>
      </c>
    </row>
    <row r="480" spans="1:72" x14ac:dyDescent="0.15">
      <c r="A480" t="s">
        <v>72</v>
      </c>
      <c r="B480" t="s">
        <v>7245</v>
      </c>
      <c r="C480" t="s">
        <v>74</v>
      </c>
      <c r="D480" t="s">
        <v>74</v>
      </c>
      <c r="E480" t="s">
        <v>74</v>
      </c>
      <c r="F480" t="s">
        <v>7245</v>
      </c>
      <c r="G480" t="s">
        <v>74</v>
      </c>
      <c r="H480" t="s">
        <v>74</v>
      </c>
      <c r="I480" t="s">
        <v>7246</v>
      </c>
      <c r="J480" t="s">
        <v>7247</v>
      </c>
      <c r="K480" t="s">
        <v>74</v>
      </c>
      <c r="L480" t="s">
        <v>74</v>
      </c>
      <c r="M480" t="s">
        <v>77</v>
      </c>
      <c r="N480" t="s">
        <v>78</v>
      </c>
      <c r="O480" t="s">
        <v>74</v>
      </c>
      <c r="P480" t="s">
        <v>74</v>
      </c>
      <c r="Q480" t="s">
        <v>74</v>
      </c>
      <c r="R480" t="s">
        <v>74</v>
      </c>
      <c r="S480" t="s">
        <v>74</v>
      </c>
      <c r="T480" t="s">
        <v>74</v>
      </c>
      <c r="U480" t="s">
        <v>7248</v>
      </c>
      <c r="V480" t="s">
        <v>7249</v>
      </c>
      <c r="W480" t="s">
        <v>7250</v>
      </c>
      <c r="X480" t="s">
        <v>1480</v>
      </c>
      <c r="Y480" t="s">
        <v>7251</v>
      </c>
      <c r="Z480" t="s">
        <v>7252</v>
      </c>
      <c r="AA480" t="s">
        <v>7253</v>
      </c>
      <c r="AB480" t="s">
        <v>7254</v>
      </c>
      <c r="AC480" t="s">
        <v>74</v>
      </c>
      <c r="AD480" t="s">
        <v>74</v>
      </c>
      <c r="AE480" t="s">
        <v>74</v>
      </c>
      <c r="AF480" t="s">
        <v>74</v>
      </c>
      <c r="AG480">
        <v>36</v>
      </c>
      <c r="AH480">
        <v>4</v>
      </c>
      <c r="AI480">
        <v>5</v>
      </c>
      <c r="AJ480">
        <v>0</v>
      </c>
      <c r="AK480">
        <v>0</v>
      </c>
      <c r="AL480" t="s">
        <v>3752</v>
      </c>
      <c r="AM480" t="s">
        <v>1852</v>
      </c>
      <c r="AN480" t="s">
        <v>1853</v>
      </c>
      <c r="AO480" t="s">
        <v>7255</v>
      </c>
      <c r="AP480" t="s">
        <v>74</v>
      </c>
      <c r="AQ480" t="s">
        <v>74</v>
      </c>
      <c r="AR480" t="s">
        <v>7256</v>
      </c>
      <c r="AS480" t="s">
        <v>7257</v>
      </c>
      <c r="AT480" t="s">
        <v>7181</v>
      </c>
      <c r="AU480">
        <v>2005</v>
      </c>
      <c r="AV480">
        <v>563</v>
      </c>
      <c r="AW480">
        <v>1</v>
      </c>
      <c r="AX480" t="s">
        <v>74</v>
      </c>
      <c r="AY480" t="s">
        <v>74</v>
      </c>
      <c r="AZ480" t="s">
        <v>74</v>
      </c>
      <c r="BA480" t="s">
        <v>74</v>
      </c>
      <c r="BB480">
        <v>213</v>
      </c>
      <c r="BC480">
        <v>228</v>
      </c>
      <c r="BD480" t="s">
        <v>74</v>
      </c>
      <c r="BE480" t="s">
        <v>7258</v>
      </c>
      <c r="BF480" t="str">
        <f>HYPERLINK("http://dx.doi.org/10.1113/jphysiol.2003.056531","http://dx.doi.org/10.1113/jphysiol.2003.056531")</f>
        <v>http://dx.doi.org/10.1113/jphysiol.2003.056531</v>
      </c>
      <c r="BG480" t="s">
        <v>74</v>
      </c>
      <c r="BH480" t="s">
        <v>74</v>
      </c>
      <c r="BI480">
        <v>16</v>
      </c>
      <c r="BJ480" t="s">
        <v>7259</v>
      </c>
      <c r="BK480" t="s">
        <v>95</v>
      </c>
      <c r="BL480" t="s">
        <v>7260</v>
      </c>
      <c r="BM480" t="s">
        <v>7261</v>
      </c>
      <c r="BN480">
        <v>15611039</v>
      </c>
      <c r="BO480" t="s">
        <v>750</v>
      </c>
      <c r="BP480" t="s">
        <v>74</v>
      </c>
      <c r="BQ480" t="s">
        <v>74</v>
      </c>
      <c r="BR480" t="s">
        <v>97</v>
      </c>
      <c r="BS480" t="s">
        <v>7262</v>
      </c>
      <c r="BT480" t="str">
        <f>HYPERLINK("https%3A%2F%2Fwww.webofscience.com%2Fwos%2Fwoscc%2Ffull-record%2FWOS:000227224900015","View Full Record in Web of Science")</f>
        <v>View Full Record in Web of Science</v>
      </c>
    </row>
    <row r="481" spans="1:72" x14ac:dyDescent="0.15">
      <c r="A481" t="s">
        <v>72</v>
      </c>
      <c r="B481" t="s">
        <v>7263</v>
      </c>
      <c r="C481" t="s">
        <v>74</v>
      </c>
      <c r="D481" t="s">
        <v>74</v>
      </c>
      <c r="E481" t="s">
        <v>74</v>
      </c>
      <c r="F481" t="s">
        <v>7263</v>
      </c>
      <c r="G481" t="s">
        <v>74</v>
      </c>
      <c r="H481" t="s">
        <v>74</v>
      </c>
      <c r="I481" t="s">
        <v>7264</v>
      </c>
      <c r="J481" t="s">
        <v>5399</v>
      </c>
      <c r="K481" t="s">
        <v>74</v>
      </c>
      <c r="L481" t="s">
        <v>74</v>
      </c>
      <c r="M481" t="s">
        <v>77</v>
      </c>
      <c r="N481" t="s">
        <v>78</v>
      </c>
      <c r="O481" t="s">
        <v>74</v>
      </c>
      <c r="P481" t="s">
        <v>74</v>
      </c>
      <c r="Q481" t="s">
        <v>74</v>
      </c>
      <c r="R481" t="s">
        <v>74</v>
      </c>
      <c r="S481" t="s">
        <v>74</v>
      </c>
      <c r="T481" t="s">
        <v>7265</v>
      </c>
      <c r="U481" t="s">
        <v>7266</v>
      </c>
      <c r="V481" t="s">
        <v>7267</v>
      </c>
      <c r="W481" t="s">
        <v>7268</v>
      </c>
      <c r="X481" t="s">
        <v>7269</v>
      </c>
      <c r="Y481" t="s">
        <v>7270</v>
      </c>
      <c r="Z481" t="s">
        <v>7271</v>
      </c>
      <c r="AA481" t="s">
        <v>74</v>
      </c>
      <c r="AB481" t="s">
        <v>7272</v>
      </c>
      <c r="AC481" t="s">
        <v>74</v>
      </c>
      <c r="AD481" t="s">
        <v>74</v>
      </c>
      <c r="AE481" t="s">
        <v>74</v>
      </c>
      <c r="AF481" t="s">
        <v>74</v>
      </c>
      <c r="AG481">
        <v>32</v>
      </c>
      <c r="AH481">
        <v>40</v>
      </c>
      <c r="AI481">
        <v>48</v>
      </c>
      <c r="AJ481">
        <v>1</v>
      </c>
      <c r="AK481">
        <v>16</v>
      </c>
      <c r="AL481" t="s">
        <v>2332</v>
      </c>
      <c r="AM481" t="s">
        <v>134</v>
      </c>
      <c r="AN481" t="s">
        <v>5409</v>
      </c>
      <c r="AO481" t="s">
        <v>5410</v>
      </c>
      <c r="AP481" t="s">
        <v>74</v>
      </c>
      <c r="AQ481" t="s">
        <v>74</v>
      </c>
      <c r="AR481" t="s">
        <v>5412</v>
      </c>
      <c r="AS481" t="s">
        <v>5413</v>
      </c>
      <c r="AT481" t="s">
        <v>7181</v>
      </c>
      <c r="AU481">
        <v>2005</v>
      </c>
      <c r="AV481">
        <v>94</v>
      </c>
      <c r="AW481">
        <v>3</v>
      </c>
      <c r="AX481" t="s">
        <v>74</v>
      </c>
      <c r="AY481" t="s">
        <v>74</v>
      </c>
      <c r="AZ481" t="s">
        <v>74</v>
      </c>
      <c r="BA481" t="s">
        <v>74</v>
      </c>
      <c r="BB481">
        <v>287</v>
      </c>
      <c r="BC481">
        <v>297</v>
      </c>
      <c r="BD481" t="s">
        <v>74</v>
      </c>
      <c r="BE481" t="s">
        <v>7273</v>
      </c>
      <c r="BF481" t="str">
        <f>HYPERLINK("http://dx.doi.org/10.1016/j.rse.2004.10.002","http://dx.doi.org/10.1016/j.rse.2004.10.002")</f>
        <v>http://dx.doi.org/10.1016/j.rse.2004.10.002</v>
      </c>
      <c r="BG481" t="s">
        <v>74</v>
      </c>
      <c r="BH481" t="s">
        <v>74</v>
      </c>
      <c r="BI481">
        <v>11</v>
      </c>
      <c r="BJ481" t="s">
        <v>5415</v>
      </c>
      <c r="BK481" t="s">
        <v>95</v>
      </c>
      <c r="BL481" t="s">
        <v>5416</v>
      </c>
      <c r="BM481" t="s">
        <v>7274</v>
      </c>
      <c r="BN481" t="s">
        <v>74</v>
      </c>
      <c r="BO481" t="s">
        <v>74</v>
      </c>
      <c r="BP481" t="s">
        <v>74</v>
      </c>
      <c r="BQ481" t="s">
        <v>74</v>
      </c>
      <c r="BR481" t="s">
        <v>97</v>
      </c>
      <c r="BS481" t="s">
        <v>7275</v>
      </c>
      <c r="BT481" t="str">
        <f>HYPERLINK("https%3A%2F%2Fwww.webofscience.com%2Fwos%2Fwoscc%2Ffull-record%2FWOS:000226879900001","View Full Record in Web of Science")</f>
        <v>View Full Record in Web of Science</v>
      </c>
    </row>
    <row r="482" spans="1:72" x14ac:dyDescent="0.15">
      <c r="A482" t="s">
        <v>72</v>
      </c>
      <c r="B482" t="s">
        <v>7276</v>
      </c>
      <c r="C482" t="s">
        <v>74</v>
      </c>
      <c r="D482" t="s">
        <v>74</v>
      </c>
      <c r="E482" t="s">
        <v>74</v>
      </c>
      <c r="F482" t="s">
        <v>7276</v>
      </c>
      <c r="G482" t="s">
        <v>74</v>
      </c>
      <c r="H482" t="s">
        <v>74</v>
      </c>
      <c r="I482" t="s">
        <v>7277</v>
      </c>
      <c r="J482" t="s">
        <v>5399</v>
      </c>
      <c r="K482" t="s">
        <v>74</v>
      </c>
      <c r="L482" t="s">
        <v>74</v>
      </c>
      <c r="M482" t="s">
        <v>77</v>
      </c>
      <c r="N482" t="s">
        <v>365</v>
      </c>
      <c r="O482" t="s">
        <v>74</v>
      </c>
      <c r="P482" t="s">
        <v>74</v>
      </c>
      <c r="Q482" t="s">
        <v>74</v>
      </c>
      <c r="R482" t="s">
        <v>74</v>
      </c>
      <c r="S482" t="s">
        <v>74</v>
      </c>
      <c r="T482" t="s">
        <v>7278</v>
      </c>
      <c r="U482" t="s">
        <v>7279</v>
      </c>
      <c r="V482" t="s">
        <v>7280</v>
      </c>
      <c r="W482" t="s">
        <v>7281</v>
      </c>
      <c r="X482" t="s">
        <v>7282</v>
      </c>
      <c r="Y482" t="s">
        <v>6957</v>
      </c>
      <c r="Z482" t="s">
        <v>7283</v>
      </c>
      <c r="AA482" t="s">
        <v>74</v>
      </c>
      <c r="AB482" t="s">
        <v>7284</v>
      </c>
      <c r="AC482" t="s">
        <v>74</v>
      </c>
      <c r="AD482" t="s">
        <v>74</v>
      </c>
      <c r="AE482" t="s">
        <v>74</v>
      </c>
      <c r="AF482" t="s">
        <v>74</v>
      </c>
      <c r="AG482">
        <v>165</v>
      </c>
      <c r="AH482">
        <v>44</v>
      </c>
      <c r="AI482">
        <v>60</v>
      </c>
      <c r="AJ482">
        <v>4</v>
      </c>
      <c r="AK482">
        <v>44</v>
      </c>
      <c r="AL482" t="s">
        <v>2332</v>
      </c>
      <c r="AM482" t="s">
        <v>134</v>
      </c>
      <c r="AN482" t="s">
        <v>2333</v>
      </c>
      <c r="AO482" t="s">
        <v>5410</v>
      </c>
      <c r="AP482" t="s">
        <v>5411</v>
      </c>
      <c r="AQ482" t="s">
        <v>74</v>
      </c>
      <c r="AR482" t="s">
        <v>5412</v>
      </c>
      <c r="AS482" t="s">
        <v>5413</v>
      </c>
      <c r="AT482" t="s">
        <v>7181</v>
      </c>
      <c r="AU482">
        <v>2005</v>
      </c>
      <c r="AV482">
        <v>94</v>
      </c>
      <c r="AW482">
        <v>3</v>
      </c>
      <c r="AX482" t="s">
        <v>74</v>
      </c>
      <c r="AY482" t="s">
        <v>74</v>
      </c>
      <c r="AZ482" t="s">
        <v>74</v>
      </c>
      <c r="BA482" t="s">
        <v>74</v>
      </c>
      <c r="BB482">
        <v>384</v>
      </c>
      <c r="BC482">
        <v>404</v>
      </c>
      <c r="BD482" t="s">
        <v>74</v>
      </c>
      <c r="BE482" t="s">
        <v>7285</v>
      </c>
      <c r="BF482" t="str">
        <f>HYPERLINK("http://dx.doi.org/10.1016/j.rse.2004.09.011","http://dx.doi.org/10.1016/j.rse.2004.09.011")</f>
        <v>http://dx.doi.org/10.1016/j.rse.2004.09.011</v>
      </c>
      <c r="BG482" t="s">
        <v>74</v>
      </c>
      <c r="BH482" t="s">
        <v>74</v>
      </c>
      <c r="BI482">
        <v>21</v>
      </c>
      <c r="BJ482" t="s">
        <v>5415</v>
      </c>
      <c r="BK482" t="s">
        <v>95</v>
      </c>
      <c r="BL482" t="s">
        <v>5416</v>
      </c>
      <c r="BM482" t="s">
        <v>7274</v>
      </c>
      <c r="BN482" t="s">
        <v>74</v>
      </c>
      <c r="BO482" t="s">
        <v>74</v>
      </c>
      <c r="BP482" t="s">
        <v>74</v>
      </c>
      <c r="BQ482" t="s">
        <v>74</v>
      </c>
      <c r="BR482" t="s">
        <v>97</v>
      </c>
      <c r="BS482" t="s">
        <v>7286</v>
      </c>
      <c r="BT482" t="str">
        <f>HYPERLINK("https%3A%2F%2Fwww.webofscience.com%2Fwos%2Fwoscc%2Ffull-record%2FWOS:000226879900010","View Full Record in Web of Science")</f>
        <v>View Full Record in Web of Science</v>
      </c>
    </row>
    <row r="483" spans="1:72" x14ac:dyDescent="0.15">
      <c r="A483" t="s">
        <v>72</v>
      </c>
      <c r="B483" t="s">
        <v>7287</v>
      </c>
      <c r="C483" t="s">
        <v>74</v>
      </c>
      <c r="D483" t="s">
        <v>74</v>
      </c>
      <c r="E483" t="s">
        <v>74</v>
      </c>
      <c r="F483" t="s">
        <v>7287</v>
      </c>
      <c r="G483" t="s">
        <v>74</v>
      </c>
      <c r="H483" t="s">
        <v>74</v>
      </c>
      <c r="I483" t="s">
        <v>7288</v>
      </c>
      <c r="J483" t="s">
        <v>617</v>
      </c>
      <c r="K483" t="s">
        <v>74</v>
      </c>
      <c r="L483" t="s">
        <v>74</v>
      </c>
      <c r="M483" t="s">
        <v>77</v>
      </c>
      <c r="N483" t="s">
        <v>78</v>
      </c>
      <c r="O483" t="s">
        <v>74</v>
      </c>
      <c r="P483" t="s">
        <v>74</v>
      </c>
      <c r="Q483" t="s">
        <v>74</v>
      </c>
      <c r="R483" t="s">
        <v>74</v>
      </c>
      <c r="S483" t="s">
        <v>74</v>
      </c>
      <c r="T483" t="s">
        <v>74</v>
      </c>
      <c r="U483" t="s">
        <v>7289</v>
      </c>
      <c r="V483" t="s">
        <v>7290</v>
      </c>
      <c r="W483" t="s">
        <v>7291</v>
      </c>
      <c r="X483" t="s">
        <v>7292</v>
      </c>
      <c r="Y483" t="s">
        <v>7293</v>
      </c>
      <c r="Z483" t="s">
        <v>7294</v>
      </c>
      <c r="AA483" t="s">
        <v>7295</v>
      </c>
      <c r="AB483" t="s">
        <v>7296</v>
      </c>
      <c r="AC483" t="s">
        <v>74</v>
      </c>
      <c r="AD483" t="s">
        <v>74</v>
      </c>
      <c r="AE483" t="s">
        <v>74</v>
      </c>
      <c r="AF483" t="s">
        <v>74</v>
      </c>
      <c r="AG483">
        <v>27</v>
      </c>
      <c r="AH483">
        <v>23</v>
      </c>
      <c r="AI483">
        <v>23</v>
      </c>
      <c r="AJ483">
        <v>0</v>
      </c>
      <c r="AK483">
        <v>2</v>
      </c>
      <c r="AL483" t="s">
        <v>527</v>
      </c>
      <c r="AM483" t="s">
        <v>528</v>
      </c>
      <c r="AN483" t="s">
        <v>529</v>
      </c>
      <c r="AO483" t="s">
        <v>625</v>
      </c>
      <c r="AP483" t="s">
        <v>626</v>
      </c>
      <c r="AQ483" t="s">
        <v>74</v>
      </c>
      <c r="AR483" t="s">
        <v>627</v>
      </c>
      <c r="AS483" t="s">
        <v>628</v>
      </c>
      <c r="AT483" t="s">
        <v>7297</v>
      </c>
      <c r="AU483">
        <v>2005</v>
      </c>
      <c r="AV483">
        <v>110</v>
      </c>
      <c r="AW483" t="s">
        <v>7298</v>
      </c>
      <c r="AX483" t="s">
        <v>74</v>
      </c>
      <c r="AY483" t="s">
        <v>74</v>
      </c>
      <c r="AZ483" t="s">
        <v>74</v>
      </c>
      <c r="BA483" t="s">
        <v>74</v>
      </c>
      <c r="BB483" t="s">
        <v>74</v>
      </c>
      <c r="BC483" t="s">
        <v>74</v>
      </c>
      <c r="BD483" t="s">
        <v>7299</v>
      </c>
      <c r="BE483" t="s">
        <v>7300</v>
      </c>
      <c r="BF483" t="str">
        <f>HYPERLINK("http://dx.doi.org/10.1029/2004JC002554","http://dx.doi.org/10.1029/2004JC002554")</f>
        <v>http://dx.doi.org/10.1029/2004JC002554</v>
      </c>
      <c r="BG483" t="s">
        <v>74</v>
      </c>
      <c r="BH483" t="s">
        <v>74</v>
      </c>
      <c r="BI483">
        <v>11</v>
      </c>
      <c r="BJ483" t="s">
        <v>632</v>
      </c>
      <c r="BK483" t="s">
        <v>95</v>
      </c>
      <c r="BL483" t="s">
        <v>632</v>
      </c>
      <c r="BM483" t="s">
        <v>7301</v>
      </c>
      <c r="BN483" t="s">
        <v>74</v>
      </c>
      <c r="BO483" t="s">
        <v>539</v>
      </c>
      <c r="BP483" t="s">
        <v>74</v>
      </c>
      <c r="BQ483" t="s">
        <v>74</v>
      </c>
      <c r="BR483" t="s">
        <v>97</v>
      </c>
      <c r="BS483" t="s">
        <v>7302</v>
      </c>
      <c r="BT483" t="str">
        <f>HYPERLINK("https%3A%2F%2Fwww.webofscience.com%2Fwos%2Fwoscc%2Ffull-record%2FWOS:000227066700002","View Full Record in Web of Science")</f>
        <v>View Full Record in Web of Science</v>
      </c>
    </row>
    <row r="484" spans="1:72" x14ac:dyDescent="0.15">
      <c r="A484" t="s">
        <v>72</v>
      </c>
      <c r="B484" t="s">
        <v>7303</v>
      </c>
      <c r="C484" t="s">
        <v>74</v>
      </c>
      <c r="D484" t="s">
        <v>74</v>
      </c>
      <c r="E484" t="s">
        <v>74</v>
      </c>
      <c r="F484" t="s">
        <v>7303</v>
      </c>
      <c r="G484" t="s">
        <v>74</v>
      </c>
      <c r="H484" t="s">
        <v>74</v>
      </c>
      <c r="I484" t="s">
        <v>7304</v>
      </c>
      <c r="J484" t="s">
        <v>519</v>
      </c>
      <c r="K484" t="s">
        <v>74</v>
      </c>
      <c r="L484" t="s">
        <v>74</v>
      </c>
      <c r="M484" t="s">
        <v>77</v>
      </c>
      <c r="N484" t="s">
        <v>78</v>
      </c>
      <c r="O484" t="s">
        <v>74</v>
      </c>
      <c r="P484" t="s">
        <v>74</v>
      </c>
      <c r="Q484" t="s">
        <v>74</v>
      </c>
      <c r="R484" t="s">
        <v>74</v>
      </c>
      <c r="S484" t="s">
        <v>74</v>
      </c>
      <c r="T484" t="s">
        <v>74</v>
      </c>
      <c r="U484" t="s">
        <v>7305</v>
      </c>
      <c r="V484" t="s">
        <v>7306</v>
      </c>
      <c r="W484" t="s">
        <v>7307</v>
      </c>
      <c r="X484" t="s">
        <v>621</v>
      </c>
      <c r="Y484" t="s">
        <v>7308</v>
      </c>
      <c r="Z484" t="s">
        <v>7309</v>
      </c>
      <c r="AA484" t="s">
        <v>7310</v>
      </c>
      <c r="AB484" t="s">
        <v>7311</v>
      </c>
      <c r="AC484" t="s">
        <v>74</v>
      </c>
      <c r="AD484" t="s">
        <v>74</v>
      </c>
      <c r="AE484" t="s">
        <v>74</v>
      </c>
      <c r="AF484" t="s">
        <v>74</v>
      </c>
      <c r="AG484">
        <v>17</v>
      </c>
      <c r="AH484">
        <v>15</v>
      </c>
      <c r="AI484">
        <v>17</v>
      </c>
      <c r="AJ484">
        <v>0</v>
      </c>
      <c r="AK484">
        <v>8</v>
      </c>
      <c r="AL484" t="s">
        <v>527</v>
      </c>
      <c r="AM484" t="s">
        <v>528</v>
      </c>
      <c r="AN484" t="s">
        <v>529</v>
      </c>
      <c r="AO484" t="s">
        <v>530</v>
      </c>
      <c r="AP484" t="s">
        <v>531</v>
      </c>
      <c r="AQ484" t="s">
        <v>74</v>
      </c>
      <c r="AR484" t="s">
        <v>532</v>
      </c>
      <c r="AS484" t="s">
        <v>533</v>
      </c>
      <c r="AT484" t="s">
        <v>7312</v>
      </c>
      <c r="AU484">
        <v>2005</v>
      </c>
      <c r="AV484">
        <v>32</v>
      </c>
      <c r="AW484">
        <v>3</v>
      </c>
      <c r="AX484" t="s">
        <v>74</v>
      </c>
      <c r="AY484" t="s">
        <v>74</v>
      </c>
      <c r="AZ484" t="s">
        <v>74</v>
      </c>
      <c r="BA484" t="s">
        <v>74</v>
      </c>
      <c r="BB484" t="s">
        <v>74</v>
      </c>
      <c r="BC484" t="s">
        <v>74</v>
      </c>
      <c r="BD484" t="s">
        <v>7313</v>
      </c>
      <c r="BE484" t="s">
        <v>7314</v>
      </c>
      <c r="BF484" t="str">
        <f>HYPERLINK("http://dx.doi.org/10.1029/2004GL022086","http://dx.doi.org/10.1029/2004GL022086")</f>
        <v>http://dx.doi.org/10.1029/2004GL022086</v>
      </c>
      <c r="BG484" t="s">
        <v>74</v>
      </c>
      <c r="BH484" t="s">
        <v>74</v>
      </c>
      <c r="BI484">
        <v>4</v>
      </c>
      <c r="BJ484" t="s">
        <v>537</v>
      </c>
      <c r="BK484" t="s">
        <v>95</v>
      </c>
      <c r="BL484" t="s">
        <v>307</v>
      </c>
      <c r="BM484" t="s">
        <v>7315</v>
      </c>
      <c r="BN484" t="s">
        <v>74</v>
      </c>
      <c r="BO484" t="s">
        <v>74</v>
      </c>
      <c r="BP484" t="s">
        <v>74</v>
      </c>
      <c r="BQ484" t="s">
        <v>74</v>
      </c>
      <c r="BR484" t="s">
        <v>97</v>
      </c>
      <c r="BS484" t="s">
        <v>7316</v>
      </c>
      <c r="BT484" t="str">
        <f>HYPERLINK("https%3A%2F%2Fwww.webofscience.com%2Fwos%2Fwoscc%2Ffull-record%2FWOS:000227065000008","View Full Record in Web of Science")</f>
        <v>View Full Record in Web of Science</v>
      </c>
    </row>
    <row r="485" spans="1:72" x14ac:dyDescent="0.15">
      <c r="A485" t="s">
        <v>72</v>
      </c>
      <c r="B485" t="s">
        <v>7317</v>
      </c>
      <c r="C485" t="s">
        <v>74</v>
      </c>
      <c r="D485" t="s">
        <v>74</v>
      </c>
      <c r="E485" t="s">
        <v>74</v>
      </c>
      <c r="F485" t="s">
        <v>7317</v>
      </c>
      <c r="G485" t="s">
        <v>74</v>
      </c>
      <c r="H485" t="s">
        <v>74</v>
      </c>
      <c r="I485" t="s">
        <v>7318</v>
      </c>
      <c r="J485" t="s">
        <v>519</v>
      </c>
      <c r="K485" t="s">
        <v>74</v>
      </c>
      <c r="L485" t="s">
        <v>74</v>
      </c>
      <c r="M485" t="s">
        <v>77</v>
      </c>
      <c r="N485" t="s">
        <v>78</v>
      </c>
      <c r="O485" t="s">
        <v>74</v>
      </c>
      <c r="P485" t="s">
        <v>74</v>
      </c>
      <c r="Q485" t="s">
        <v>74</v>
      </c>
      <c r="R485" t="s">
        <v>74</v>
      </c>
      <c r="S485" t="s">
        <v>74</v>
      </c>
      <c r="T485" t="s">
        <v>74</v>
      </c>
      <c r="U485" t="s">
        <v>7319</v>
      </c>
      <c r="V485" t="s">
        <v>7320</v>
      </c>
      <c r="W485" t="s">
        <v>7321</v>
      </c>
      <c r="X485" t="s">
        <v>7322</v>
      </c>
      <c r="Y485" t="s">
        <v>7323</v>
      </c>
      <c r="Z485" t="s">
        <v>7324</v>
      </c>
      <c r="AA485" t="s">
        <v>7325</v>
      </c>
      <c r="AB485" t="s">
        <v>7326</v>
      </c>
      <c r="AC485" t="s">
        <v>74</v>
      </c>
      <c r="AD485" t="s">
        <v>74</v>
      </c>
      <c r="AE485" t="s">
        <v>74</v>
      </c>
      <c r="AF485" t="s">
        <v>74</v>
      </c>
      <c r="AG485">
        <v>20</v>
      </c>
      <c r="AH485">
        <v>170</v>
      </c>
      <c r="AI485">
        <v>199</v>
      </c>
      <c r="AJ485">
        <v>1</v>
      </c>
      <c r="AK485">
        <v>13</v>
      </c>
      <c r="AL485" t="s">
        <v>527</v>
      </c>
      <c r="AM485" t="s">
        <v>528</v>
      </c>
      <c r="AN485" t="s">
        <v>529</v>
      </c>
      <c r="AO485" t="s">
        <v>530</v>
      </c>
      <c r="AP485" t="s">
        <v>531</v>
      </c>
      <c r="AQ485" t="s">
        <v>74</v>
      </c>
      <c r="AR485" t="s">
        <v>532</v>
      </c>
      <c r="AS485" t="s">
        <v>533</v>
      </c>
      <c r="AT485" t="s">
        <v>7327</v>
      </c>
      <c r="AU485">
        <v>2005</v>
      </c>
      <c r="AV485">
        <v>32</v>
      </c>
      <c r="AW485">
        <v>3</v>
      </c>
      <c r="AX485" t="s">
        <v>74</v>
      </c>
      <c r="AY485" t="s">
        <v>74</v>
      </c>
      <c r="AZ485" t="s">
        <v>74</v>
      </c>
      <c r="BA485" t="s">
        <v>74</v>
      </c>
      <c r="BB485" t="s">
        <v>74</v>
      </c>
      <c r="BC485" t="s">
        <v>74</v>
      </c>
      <c r="BD485" t="s">
        <v>7328</v>
      </c>
      <c r="BE485" t="s">
        <v>7329</v>
      </c>
      <c r="BF485" t="str">
        <f>HYPERLINK("http://dx.doi.org/10.1029/2004GL021387","http://dx.doi.org/10.1029/2004GL021387")</f>
        <v>http://dx.doi.org/10.1029/2004GL021387</v>
      </c>
      <c r="BG485" t="s">
        <v>74</v>
      </c>
      <c r="BH485" t="s">
        <v>74</v>
      </c>
      <c r="BI485">
        <v>4</v>
      </c>
      <c r="BJ485" t="s">
        <v>537</v>
      </c>
      <c r="BK485" t="s">
        <v>95</v>
      </c>
      <c r="BL485" t="s">
        <v>307</v>
      </c>
      <c r="BM485" t="s">
        <v>7330</v>
      </c>
      <c r="BN485" t="s">
        <v>74</v>
      </c>
      <c r="BO485" t="s">
        <v>74</v>
      </c>
      <c r="BP485" t="s">
        <v>74</v>
      </c>
      <c r="BQ485" t="s">
        <v>74</v>
      </c>
      <c r="BR485" t="s">
        <v>97</v>
      </c>
      <c r="BS485" t="s">
        <v>7331</v>
      </c>
      <c r="BT485" t="str">
        <f>HYPERLINK("https%3A%2F%2Fwww.webofscience.com%2Fwos%2Fwoscc%2Ffull-record%2FWOS:000227064700002","View Full Record in Web of Science")</f>
        <v>View Full Record in Web of Science</v>
      </c>
    </row>
    <row r="486" spans="1:72" x14ac:dyDescent="0.15">
      <c r="A486" t="s">
        <v>72</v>
      </c>
      <c r="B486" t="s">
        <v>7332</v>
      </c>
      <c r="C486" t="s">
        <v>74</v>
      </c>
      <c r="D486" t="s">
        <v>74</v>
      </c>
      <c r="E486" t="s">
        <v>74</v>
      </c>
      <c r="F486" t="s">
        <v>7332</v>
      </c>
      <c r="G486" t="s">
        <v>74</v>
      </c>
      <c r="H486" t="s">
        <v>74</v>
      </c>
      <c r="I486" t="s">
        <v>7333</v>
      </c>
      <c r="J486" t="s">
        <v>1868</v>
      </c>
      <c r="K486" t="s">
        <v>74</v>
      </c>
      <c r="L486" t="s">
        <v>74</v>
      </c>
      <c r="M486" t="s">
        <v>77</v>
      </c>
      <c r="N486" t="s">
        <v>78</v>
      </c>
      <c r="O486" t="s">
        <v>74</v>
      </c>
      <c r="P486" t="s">
        <v>74</v>
      </c>
      <c r="Q486" t="s">
        <v>74</v>
      </c>
      <c r="R486" t="s">
        <v>74</v>
      </c>
      <c r="S486" t="s">
        <v>74</v>
      </c>
      <c r="T486" t="s">
        <v>74</v>
      </c>
      <c r="U486" t="s">
        <v>7334</v>
      </c>
      <c r="V486" t="s">
        <v>7335</v>
      </c>
      <c r="W486" t="s">
        <v>7336</v>
      </c>
      <c r="X486" t="s">
        <v>7337</v>
      </c>
      <c r="Y486" t="s">
        <v>7338</v>
      </c>
      <c r="Z486" t="s">
        <v>7339</v>
      </c>
      <c r="AA486" t="s">
        <v>7340</v>
      </c>
      <c r="AB486" t="s">
        <v>7341</v>
      </c>
      <c r="AC486" t="s">
        <v>74</v>
      </c>
      <c r="AD486" t="s">
        <v>74</v>
      </c>
      <c r="AE486" t="s">
        <v>74</v>
      </c>
      <c r="AF486" t="s">
        <v>74</v>
      </c>
      <c r="AG486">
        <v>59</v>
      </c>
      <c r="AH486">
        <v>39</v>
      </c>
      <c r="AI486">
        <v>44</v>
      </c>
      <c r="AJ486">
        <v>0</v>
      </c>
      <c r="AK486">
        <v>11</v>
      </c>
      <c r="AL486" t="s">
        <v>527</v>
      </c>
      <c r="AM486" t="s">
        <v>528</v>
      </c>
      <c r="AN486" t="s">
        <v>529</v>
      </c>
      <c r="AO486" t="s">
        <v>1877</v>
      </c>
      <c r="AP486" t="s">
        <v>1878</v>
      </c>
      <c r="AQ486" t="s">
        <v>74</v>
      </c>
      <c r="AR486" t="s">
        <v>1879</v>
      </c>
      <c r="AS486" t="s">
        <v>1880</v>
      </c>
      <c r="AT486" t="s">
        <v>7327</v>
      </c>
      <c r="AU486">
        <v>2005</v>
      </c>
      <c r="AV486">
        <v>110</v>
      </c>
      <c r="AW486" t="s">
        <v>7342</v>
      </c>
      <c r="AX486" t="s">
        <v>74</v>
      </c>
      <c r="AY486" t="s">
        <v>74</v>
      </c>
      <c r="AZ486" t="s">
        <v>74</v>
      </c>
      <c r="BA486" t="s">
        <v>74</v>
      </c>
      <c r="BB486" t="s">
        <v>74</v>
      </c>
      <c r="BC486" t="s">
        <v>74</v>
      </c>
      <c r="BD486" t="s">
        <v>7343</v>
      </c>
      <c r="BE486" t="s">
        <v>7344</v>
      </c>
      <c r="BF486" t="str">
        <f>HYPERLINK("http://dx.doi.org/10.1029/2004JD004881","http://dx.doi.org/10.1029/2004JD004881")</f>
        <v>http://dx.doi.org/10.1029/2004JD004881</v>
      </c>
      <c r="BG486" t="s">
        <v>74</v>
      </c>
      <c r="BH486" t="s">
        <v>74</v>
      </c>
      <c r="BI486">
        <v>20</v>
      </c>
      <c r="BJ486" t="s">
        <v>401</v>
      </c>
      <c r="BK486" t="s">
        <v>95</v>
      </c>
      <c r="BL486" t="s">
        <v>401</v>
      </c>
      <c r="BM486" t="s">
        <v>7345</v>
      </c>
      <c r="BN486" t="s">
        <v>74</v>
      </c>
      <c r="BO486" t="s">
        <v>750</v>
      </c>
      <c r="BP486" t="s">
        <v>74</v>
      </c>
      <c r="BQ486" t="s">
        <v>74</v>
      </c>
      <c r="BR486" t="s">
        <v>97</v>
      </c>
      <c r="BS486" t="s">
        <v>7346</v>
      </c>
      <c r="BT486" t="str">
        <f>HYPERLINK("https%3A%2F%2Fwww.webofscience.com%2Fwos%2Fwoscc%2Ffull-record%2FWOS:000227065400001","View Full Record in Web of Science")</f>
        <v>View Full Record in Web of Science</v>
      </c>
    </row>
    <row r="487" spans="1:72" x14ac:dyDescent="0.15">
      <c r="A487" t="s">
        <v>72</v>
      </c>
      <c r="B487" t="s">
        <v>7347</v>
      </c>
      <c r="C487" t="s">
        <v>74</v>
      </c>
      <c r="D487" t="s">
        <v>74</v>
      </c>
      <c r="E487" t="s">
        <v>74</v>
      </c>
      <c r="F487" t="s">
        <v>7347</v>
      </c>
      <c r="G487" t="s">
        <v>74</v>
      </c>
      <c r="H487" t="s">
        <v>74</v>
      </c>
      <c r="I487" t="s">
        <v>7348</v>
      </c>
      <c r="J487" t="s">
        <v>1868</v>
      </c>
      <c r="K487" t="s">
        <v>74</v>
      </c>
      <c r="L487" t="s">
        <v>74</v>
      </c>
      <c r="M487" t="s">
        <v>77</v>
      </c>
      <c r="N487" t="s">
        <v>78</v>
      </c>
      <c r="O487" t="s">
        <v>74</v>
      </c>
      <c r="P487" t="s">
        <v>74</v>
      </c>
      <c r="Q487" t="s">
        <v>74</v>
      </c>
      <c r="R487" t="s">
        <v>74</v>
      </c>
      <c r="S487" t="s">
        <v>74</v>
      </c>
      <c r="T487" t="s">
        <v>74</v>
      </c>
      <c r="U487" t="s">
        <v>7349</v>
      </c>
      <c r="V487" t="s">
        <v>7350</v>
      </c>
      <c r="W487" t="s">
        <v>4109</v>
      </c>
      <c r="X487" t="s">
        <v>671</v>
      </c>
      <c r="Y487" t="s">
        <v>2635</v>
      </c>
      <c r="Z487" t="s">
        <v>7351</v>
      </c>
      <c r="AA487" t="s">
        <v>74</v>
      </c>
      <c r="AB487" t="s">
        <v>74</v>
      </c>
      <c r="AC487" t="s">
        <v>74</v>
      </c>
      <c r="AD487" t="s">
        <v>74</v>
      </c>
      <c r="AE487" t="s">
        <v>74</v>
      </c>
      <c r="AF487" t="s">
        <v>74</v>
      </c>
      <c r="AG487">
        <v>21</v>
      </c>
      <c r="AH487">
        <v>8</v>
      </c>
      <c r="AI487">
        <v>10</v>
      </c>
      <c r="AJ487">
        <v>0</v>
      </c>
      <c r="AK487">
        <v>1</v>
      </c>
      <c r="AL487" t="s">
        <v>527</v>
      </c>
      <c r="AM487" t="s">
        <v>528</v>
      </c>
      <c r="AN487" t="s">
        <v>529</v>
      </c>
      <c r="AO487" t="s">
        <v>1877</v>
      </c>
      <c r="AP487" t="s">
        <v>1878</v>
      </c>
      <c r="AQ487" t="s">
        <v>74</v>
      </c>
      <c r="AR487" t="s">
        <v>1879</v>
      </c>
      <c r="AS487" t="s">
        <v>1880</v>
      </c>
      <c r="AT487" t="s">
        <v>7352</v>
      </c>
      <c r="AU487">
        <v>2005</v>
      </c>
      <c r="AV487">
        <v>110</v>
      </c>
      <c r="AW487" t="s">
        <v>7342</v>
      </c>
      <c r="AX487" t="s">
        <v>74</v>
      </c>
      <c r="AY487" t="s">
        <v>74</v>
      </c>
      <c r="AZ487" t="s">
        <v>74</v>
      </c>
      <c r="BA487" t="s">
        <v>74</v>
      </c>
      <c r="BB487" t="s">
        <v>74</v>
      </c>
      <c r="BC487" t="s">
        <v>74</v>
      </c>
      <c r="BD487" t="s">
        <v>7353</v>
      </c>
      <c r="BE487" t="s">
        <v>7354</v>
      </c>
      <c r="BF487" t="str">
        <f>HYPERLINK("http://dx.doi.org/10.1029/2004jd004935","http://dx.doi.org/10.1029/2004jd004935")</f>
        <v>http://dx.doi.org/10.1029/2004jd004935</v>
      </c>
      <c r="BG487" t="s">
        <v>74</v>
      </c>
      <c r="BH487" t="s">
        <v>74</v>
      </c>
      <c r="BI487">
        <v>8</v>
      </c>
      <c r="BJ487" t="s">
        <v>401</v>
      </c>
      <c r="BK487" t="s">
        <v>95</v>
      </c>
      <c r="BL487" t="s">
        <v>401</v>
      </c>
      <c r="BM487" t="s">
        <v>7355</v>
      </c>
      <c r="BN487" t="s">
        <v>74</v>
      </c>
      <c r="BO487" t="s">
        <v>539</v>
      </c>
      <c r="BP487" t="s">
        <v>74</v>
      </c>
      <c r="BQ487" t="s">
        <v>74</v>
      </c>
      <c r="BR487" t="s">
        <v>97</v>
      </c>
      <c r="BS487" t="s">
        <v>7356</v>
      </c>
      <c r="BT487" t="str">
        <f>HYPERLINK("https%3A%2F%2Fwww.webofscience.com%2Fwos%2Fwoscc%2Ffull-record%2FWOS:000226901800001","View Full Record in Web of Science")</f>
        <v>View Full Record in Web of Science</v>
      </c>
    </row>
    <row r="488" spans="1:72" x14ac:dyDescent="0.15">
      <c r="A488" t="s">
        <v>72</v>
      </c>
      <c r="B488" t="s">
        <v>7357</v>
      </c>
      <c r="C488" t="s">
        <v>74</v>
      </c>
      <c r="D488" t="s">
        <v>74</v>
      </c>
      <c r="E488" t="s">
        <v>74</v>
      </c>
      <c r="F488" t="s">
        <v>7357</v>
      </c>
      <c r="G488" t="s">
        <v>74</v>
      </c>
      <c r="H488" t="s">
        <v>74</v>
      </c>
      <c r="I488" t="s">
        <v>7358</v>
      </c>
      <c r="J488" t="s">
        <v>1016</v>
      </c>
      <c r="K488" t="s">
        <v>74</v>
      </c>
      <c r="L488" t="s">
        <v>74</v>
      </c>
      <c r="M488" t="s">
        <v>77</v>
      </c>
      <c r="N488" t="s">
        <v>78</v>
      </c>
      <c r="O488" t="s">
        <v>74</v>
      </c>
      <c r="P488" t="s">
        <v>74</v>
      </c>
      <c r="Q488" t="s">
        <v>74</v>
      </c>
      <c r="R488" t="s">
        <v>74</v>
      </c>
      <c r="S488" t="s">
        <v>74</v>
      </c>
      <c r="T488" t="s">
        <v>74</v>
      </c>
      <c r="U488" t="s">
        <v>7359</v>
      </c>
      <c r="V488" t="s">
        <v>7360</v>
      </c>
      <c r="W488" t="s">
        <v>7361</v>
      </c>
      <c r="X488" t="s">
        <v>7362</v>
      </c>
      <c r="Y488" t="s">
        <v>7363</v>
      </c>
      <c r="Z488" t="s">
        <v>7364</v>
      </c>
      <c r="AA488" t="s">
        <v>7365</v>
      </c>
      <c r="AB488" t="s">
        <v>7366</v>
      </c>
      <c r="AC488" t="s">
        <v>74</v>
      </c>
      <c r="AD488" t="s">
        <v>74</v>
      </c>
      <c r="AE488" t="s">
        <v>74</v>
      </c>
      <c r="AF488" t="s">
        <v>74</v>
      </c>
      <c r="AG488">
        <v>78</v>
      </c>
      <c r="AH488">
        <v>100</v>
      </c>
      <c r="AI488">
        <v>105</v>
      </c>
      <c r="AJ488">
        <v>0</v>
      </c>
      <c r="AK488">
        <v>12</v>
      </c>
      <c r="AL488" t="s">
        <v>527</v>
      </c>
      <c r="AM488" t="s">
        <v>528</v>
      </c>
      <c r="AN488" t="s">
        <v>529</v>
      </c>
      <c r="AO488" t="s">
        <v>1024</v>
      </c>
      <c r="AP488" t="s">
        <v>1025</v>
      </c>
      <c r="AQ488" t="s">
        <v>74</v>
      </c>
      <c r="AR488" t="s">
        <v>1026</v>
      </c>
      <c r="AS488" t="s">
        <v>1027</v>
      </c>
      <c r="AT488" t="s">
        <v>7367</v>
      </c>
      <c r="AU488">
        <v>2005</v>
      </c>
      <c r="AV488">
        <v>110</v>
      </c>
      <c r="AW488" t="s">
        <v>7368</v>
      </c>
      <c r="AX488" t="s">
        <v>74</v>
      </c>
      <c r="AY488" t="s">
        <v>74</v>
      </c>
      <c r="AZ488" t="s">
        <v>74</v>
      </c>
      <c r="BA488" t="s">
        <v>74</v>
      </c>
      <c r="BB488" t="s">
        <v>74</v>
      </c>
      <c r="BC488" t="s">
        <v>74</v>
      </c>
      <c r="BD488" t="s">
        <v>7369</v>
      </c>
      <c r="BE488" t="s">
        <v>7370</v>
      </c>
      <c r="BF488" t="str">
        <f>HYPERLINK("http://dx.doi.org/10.1029/2004JB003154","http://dx.doi.org/10.1029/2004JB003154")</f>
        <v>http://dx.doi.org/10.1029/2004JB003154</v>
      </c>
      <c r="BG488" t="s">
        <v>74</v>
      </c>
      <c r="BH488" t="s">
        <v>74</v>
      </c>
      <c r="BI488">
        <v>19</v>
      </c>
      <c r="BJ488" t="s">
        <v>381</v>
      </c>
      <c r="BK488" t="s">
        <v>95</v>
      </c>
      <c r="BL488" t="s">
        <v>381</v>
      </c>
      <c r="BM488" t="s">
        <v>7371</v>
      </c>
      <c r="BN488" t="s">
        <v>74</v>
      </c>
      <c r="BO488" t="s">
        <v>750</v>
      </c>
      <c r="BP488" t="s">
        <v>74</v>
      </c>
      <c r="BQ488" t="s">
        <v>74</v>
      </c>
      <c r="BR488" t="s">
        <v>97</v>
      </c>
      <c r="BS488" t="s">
        <v>7372</v>
      </c>
      <c r="BT488" t="str">
        <f>HYPERLINK("https%3A%2F%2Fwww.webofscience.com%2Fwos%2Fwoscc%2Ffull-record%2FWOS:000226902900002","View Full Record in Web of Science")</f>
        <v>View Full Record in Web of Science</v>
      </c>
    </row>
    <row r="489" spans="1:72" x14ac:dyDescent="0.15">
      <c r="A489" t="s">
        <v>72</v>
      </c>
      <c r="B489" t="s">
        <v>7373</v>
      </c>
      <c r="C489" t="s">
        <v>74</v>
      </c>
      <c r="D489" t="s">
        <v>74</v>
      </c>
      <c r="E489" t="s">
        <v>74</v>
      </c>
      <c r="F489" t="s">
        <v>7373</v>
      </c>
      <c r="G489" t="s">
        <v>74</v>
      </c>
      <c r="H489" t="s">
        <v>74</v>
      </c>
      <c r="I489" t="s">
        <v>7374</v>
      </c>
      <c r="J489" t="s">
        <v>2811</v>
      </c>
      <c r="K489" t="s">
        <v>74</v>
      </c>
      <c r="L489" t="s">
        <v>74</v>
      </c>
      <c r="M489" t="s">
        <v>77</v>
      </c>
      <c r="N489" t="s">
        <v>78</v>
      </c>
      <c r="O489" t="s">
        <v>74</v>
      </c>
      <c r="P489" t="s">
        <v>74</v>
      </c>
      <c r="Q489" t="s">
        <v>74</v>
      </c>
      <c r="R489" t="s">
        <v>74</v>
      </c>
      <c r="S489" t="s">
        <v>74</v>
      </c>
      <c r="T489" t="s">
        <v>74</v>
      </c>
      <c r="U489" t="s">
        <v>7375</v>
      </c>
      <c r="V489" t="s">
        <v>7376</v>
      </c>
      <c r="W489" t="s">
        <v>7377</v>
      </c>
      <c r="X489" t="s">
        <v>7378</v>
      </c>
      <c r="Y489" t="s">
        <v>7379</v>
      </c>
      <c r="Z489" t="s">
        <v>7380</v>
      </c>
      <c r="AA489" t="s">
        <v>7381</v>
      </c>
      <c r="AB489" t="s">
        <v>7382</v>
      </c>
      <c r="AC489" t="s">
        <v>74</v>
      </c>
      <c r="AD489" t="s">
        <v>74</v>
      </c>
      <c r="AE489" t="s">
        <v>74</v>
      </c>
      <c r="AF489" t="s">
        <v>74</v>
      </c>
      <c r="AG489">
        <v>47</v>
      </c>
      <c r="AH489">
        <v>6</v>
      </c>
      <c r="AI489">
        <v>7</v>
      </c>
      <c r="AJ489">
        <v>0</v>
      </c>
      <c r="AK489">
        <v>6</v>
      </c>
      <c r="AL489" t="s">
        <v>255</v>
      </c>
      <c r="AM489" t="s">
        <v>256</v>
      </c>
      <c r="AN489" t="s">
        <v>257</v>
      </c>
      <c r="AO489" t="s">
        <v>2822</v>
      </c>
      <c r="AP489" t="s">
        <v>2823</v>
      </c>
      <c r="AQ489" t="s">
        <v>74</v>
      </c>
      <c r="AR489" t="s">
        <v>2824</v>
      </c>
      <c r="AS489" t="s">
        <v>2825</v>
      </c>
      <c r="AT489" t="s">
        <v>7383</v>
      </c>
      <c r="AU489">
        <v>2005</v>
      </c>
      <c r="AV489">
        <v>56</v>
      </c>
      <c r="AW489">
        <v>3</v>
      </c>
      <c r="AX489" t="s">
        <v>74</v>
      </c>
      <c r="AY489" t="s">
        <v>74</v>
      </c>
      <c r="AZ489" t="s">
        <v>74</v>
      </c>
      <c r="BA489" t="s">
        <v>74</v>
      </c>
      <c r="BB489">
        <v>397</v>
      </c>
      <c r="BC489">
        <v>407</v>
      </c>
      <c r="BD489" t="s">
        <v>74</v>
      </c>
      <c r="BE489" t="s">
        <v>7384</v>
      </c>
      <c r="BF489" t="str">
        <f>HYPERLINK("http://dx.doi.org/10.1016/j.actaastro.2004.05.069","http://dx.doi.org/10.1016/j.actaastro.2004.05.069")</f>
        <v>http://dx.doi.org/10.1016/j.actaastro.2004.05.069</v>
      </c>
      <c r="BG489" t="s">
        <v>74</v>
      </c>
      <c r="BH489" t="s">
        <v>74</v>
      </c>
      <c r="BI489">
        <v>11</v>
      </c>
      <c r="BJ489" t="s">
        <v>2829</v>
      </c>
      <c r="BK489" t="s">
        <v>95</v>
      </c>
      <c r="BL489" t="s">
        <v>551</v>
      </c>
      <c r="BM489" t="s">
        <v>7385</v>
      </c>
      <c r="BN489">
        <v>15754476</v>
      </c>
      <c r="BO489" t="s">
        <v>74</v>
      </c>
      <c r="BP489" t="s">
        <v>74</v>
      </c>
      <c r="BQ489" t="s">
        <v>74</v>
      </c>
      <c r="BR489" t="s">
        <v>97</v>
      </c>
      <c r="BS489" t="s">
        <v>7386</v>
      </c>
      <c r="BT489" t="str">
        <f>HYPERLINK("https%3A%2F%2Fwww.webofscience.com%2Fwos%2Fwoscc%2Ffull-record%2FWOS:000225782800006","View Full Record in Web of Science")</f>
        <v>View Full Record in Web of Science</v>
      </c>
    </row>
    <row r="490" spans="1:72" x14ac:dyDescent="0.15">
      <c r="A490" t="s">
        <v>72</v>
      </c>
      <c r="B490" t="s">
        <v>7387</v>
      </c>
      <c r="C490" t="s">
        <v>74</v>
      </c>
      <c r="D490" t="s">
        <v>74</v>
      </c>
      <c r="E490" t="s">
        <v>74</v>
      </c>
      <c r="F490" t="s">
        <v>7387</v>
      </c>
      <c r="G490" t="s">
        <v>74</v>
      </c>
      <c r="H490" t="s">
        <v>74</v>
      </c>
      <c r="I490" t="s">
        <v>7388</v>
      </c>
      <c r="J490" t="s">
        <v>5627</v>
      </c>
      <c r="K490" t="s">
        <v>74</v>
      </c>
      <c r="L490" t="s">
        <v>74</v>
      </c>
      <c r="M490" t="s">
        <v>77</v>
      </c>
      <c r="N490" t="s">
        <v>78</v>
      </c>
      <c r="O490" t="s">
        <v>74</v>
      </c>
      <c r="P490" t="s">
        <v>74</v>
      </c>
      <c r="Q490" t="s">
        <v>74</v>
      </c>
      <c r="R490" t="s">
        <v>74</v>
      </c>
      <c r="S490" t="s">
        <v>74</v>
      </c>
      <c r="T490" t="s">
        <v>74</v>
      </c>
      <c r="U490" t="s">
        <v>7389</v>
      </c>
      <c r="V490" t="s">
        <v>7390</v>
      </c>
      <c r="W490" t="s">
        <v>7391</v>
      </c>
      <c r="X490" t="s">
        <v>7392</v>
      </c>
      <c r="Y490" t="s">
        <v>7393</v>
      </c>
      <c r="Z490" t="s">
        <v>7394</v>
      </c>
      <c r="AA490" t="s">
        <v>7395</v>
      </c>
      <c r="AB490" t="s">
        <v>7396</v>
      </c>
      <c r="AC490" t="s">
        <v>74</v>
      </c>
      <c r="AD490" t="s">
        <v>74</v>
      </c>
      <c r="AE490" t="s">
        <v>74</v>
      </c>
      <c r="AF490" t="s">
        <v>74</v>
      </c>
      <c r="AG490">
        <v>20</v>
      </c>
      <c r="AH490">
        <v>4</v>
      </c>
      <c r="AI490">
        <v>6</v>
      </c>
      <c r="AJ490">
        <v>1</v>
      </c>
      <c r="AK490">
        <v>4</v>
      </c>
      <c r="AL490" t="s">
        <v>5634</v>
      </c>
      <c r="AM490" t="s">
        <v>5635</v>
      </c>
      <c r="AN490" t="s">
        <v>5636</v>
      </c>
      <c r="AO490" t="s">
        <v>74</v>
      </c>
      <c r="AP490" t="s">
        <v>5637</v>
      </c>
      <c r="AQ490" t="s">
        <v>74</v>
      </c>
      <c r="AR490" t="s">
        <v>5638</v>
      </c>
      <c r="AS490" t="s">
        <v>5639</v>
      </c>
      <c r="AT490" t="s">
        <v>7383</v>
      </c>
      <c r="AU490">
        <v>2005</v>
      </c>
      <c r="AV490">
        <v>61</v>
      </c>
      <c r="AW490" t="s">
        <v>74</v>
      </c>
      <c r="AX490">
        <v>2</v>
      </c>
      <c r="AY490" t="s">
        <v>74</v>
      </c>
      <c r="AZ490" t="s">
        <v>74</v>
      </c>
      <c r="BA490" t="s">
        <v>74</v>
      </c>
      <c r="BB490">
        <v>246</v>
      </c>
      <c r="BC490">
        <v>248</v>
      </c>
      <c r="BD490" t="s">
        <v>74</v>
      </c>
      <c r="BE490" t="s">
        <v>7397</v>
      </c>
      <c r="BF490" t="str">
        <f>HYPERLINK("http://dx.doi.org/10.1107/S1744309105002253","http://dx.doi.org/10.1107/S1744309105002253")</f>
        <v>http://dx.doi.org/10.1107/S1744309105002253</v>
      </c>
      <c r="BG490" t="s">
        <v>74</v>
      </c>
      <c r="BH490" t="s">
        <v>74</v>
      </c>
      <c r="BI490">
        <v>3</v>
      </c>
      <c r="BJ490" t="s">
        <v>5642</v>
      </c>
      <c r="BK490" t="s">
        <v>95</v>
      </c>
      <c r="BL490" t="s">
        <v>5643</v>
      </c>
      <c r="BM490" t="s">
        <v>7398</v>
      </c>
      <c r="BN490">
        <v>16511007</v>
      </c>
      <c r="BO490" t="s">
        <v>750</v>
      </c>
      <c r="BP490" t="s">
        <v>74</v>
      </c>
      <c r="BQ490" t="s">
        <v>74</v>
      </c>
      <c r="BR490" t="s">
        <v>97</v>
      </c>
      <c r="BS490" t="s">
        <v>7399</v>
      </c>
      <c r="BT490" t="str">
        <f>HYPERLINK("https%3A%2F%2Fwww.webofscience.com%2Fwos%2Fwoscc%2Ffull-record%2FWOS:000232271900025","View Full Record in Web of Science")</f>
        <v>View Full Record in Web of Science</v>
      </c>
    </row>
    <row r="491" spans="1:72" x14ac:dyDescent="0.15">
      <c r="A491" t="s">
        <v>72</v>
      </c>
      <c r="B491" t="s">
        <v>7400</v>
      </c>
      <c r="C491" t="s">
        <v>74</v>
      </c>
      <c r="D491" t="s">
        <v>74</v>
      </c>
      <c r="E491" t="s">
        <v>74</v>
      </c>
      <c r="F491" t="s">
        <v>7400</v>
      </c>
      <c r="G491" t="s">
        <v>74</v>
      </c>
      <c r="H491" t="s">
        <v>74</v>
      </c>
      <c r="I491" t="s">
        <v>7401</v>
      </c>
      <c r="J491" t="s">
        <v>7402</v>
      </c>
      <c r="K491" t="s">
        <v>74</v>
      </c>
      <c r="L491" t="s">
        <v>74</v>
      </c>
      <c r="M491" t="s">
        <v>77</v>
      </c>
      <c r="N491" t="s">
        <v>78</v>
      </c>
      <c r="O491" t="s">
        <v>74</v>
      </c>
      <c r="P491" t="s">
        <v>74</v>
      </c>
      <c r="Q491" t="s">
        <v>74</v>
      </c>
      <c r="R491" t="s">
        <v>74</v>
      </c>
      <c r="S491" t="s">
        <v>74</v>
      </c>
      <c r="T491" t="s">
        <v>7403</v>
      </c>
      <c r="U491" t="s">
        <v>7404</v>
      </c>
      <c r="V491" t="s">
        <v>7405</v>
      </c>
      <c r="W491" t="s">
        <v>7406</v>
      </c>
      <c r="X491" t="s">
        <v>7407</v>
      </c>
      <c r="Y491" t="s">
        <v>7408</v>
      </c>
      <c r="Z491" t="s">
        <v>7409</v>
      </c>
      <c r="AA491" t="s">
        <v>74</v>
      </c>
      <c r="AB491" t="s">
        <v>74</v>
      </c>
      <c r="AC491" t="s">
        <v>74</v>
      </c>
      <c r="AD491" t="s">
        <v>74</v>
      </c>
      <c r="AE491" t="s">
        <v>74</v>
      </c>
      <c r="AF491" t="s">
        <v>74</v>
      </c>
      <c r="AG491">
        <v>44</v>
      </c>
      <c r="AH491">
        <v>25</v>
      </c>
      <c r="AI491">
        <v>27</v>
      </c>
      <c r="AJ491">
        <v>2</v>
      </c>
      <c r="AK491">
        <v>5</v>
      </c>
      <c r="AL491" t="s">
        <v>7410</v>
      </c>
      <c r="AM491" t="s">
        <v>7411</v>
      </c>
      <c r="AN491" t="s">
        <v>7412</v>
      </c>
      <c r="AO491" t="s">
        <v>7413</v>
      </c>
      <c r="AP491" t="s">
        <v>7414</v>
      </c>
      <c r="AQ491" t="s">
        <v>74</v>
      </c>
      <c r="AR491" t="s">
        <v>7415</v>
      </c>
      <c r="AS491" t="s">
        <v>7416</v>
      </c>
      <c r="AT491" t="s">
        <v>7383</v>
      </c>
      <c r="AU491">
        <v>2005</v>
      </c>
      <c r="AV491">
        <v>50</v>
      </c>
      <c r="AW491">
        <v>1</v>
      </c>
      <c r="AX491" t="s">
        <v>74</v>
      </c>
      <c r="AY491" t="s">
        <v>74</v>
      </c>
      <c r="AZ491" t="s">
        <v>74</v>
      </c>
      <c r="BA491" t="s">
        <v>74</v>
      </c>
      <c r="BB491">
        <v>1</v>
      </c>
      <c r="BC491">
        <v>8</v>
      </c>
      <c r="BD491" t="s">
        <v>74</v>
      </c>
      <c r="BE491" t="s">
        <v>74</v>
      </c>
      <c r="BF491" t="s">
        <v>74</v>
      </c>
      <c r="BG491" t="s">
        <v>74</v>
      </c>
      <c r="BH491" t="s">
        <v>74</v>
      </c>
      <c r="BI491">
        <v>8</v>
      </c>
      <c r="BJ491" t="s">
        <v>420</v>
      </c>
      <c r="BK491" t="s">
        <v>95</v>
      </c>
      <c r="BL491" t="s">
        <v>420</v>
      </c>
      <c r="BM491" t="s">
        <v>7417</v>
      </c>
      <c r="BN491" t="s">
        <v>74</v>
      </c>
      <c r="BO491" t="s">
        <v>74</v>
      </c>
      <c r="BP491" t="s">
        <v>74</v>
      </c>
      <c r="BQ491" t="s">
        <v>74</v>
      </c>
      <c r="BR491" t="s">
        <v>97</v>
      </c>
      <c r="BS491" t="s">
        <v>7418</v>
      </c>
      <c r="BT491" t="str">
        <f>HYPERLINK("https%3A%2F%2Fwww.webofscience.com%2Fwos%2Fwoscc%2Ffull-record%2FWOS:000227310900001","View Full Record in Web of Science")</f>
        <v>View Full Record in Web of Science</v>
      </c>
    </row>
    <row r="492" spans="1:72" x14ac:dyDescent="0.15">
      <c r="A492" t="s">
        <v>72</v>
      </c>
      <c r="B492" t="s">
        <v>7419</v>
      </c>
      <c r="C492" t="s">
        <v>74</v>
      </c>
      <c r="D492" t="s">
        <v>74</v>
      </c>
      <c r="E492" t="s">
        <v>74</v>
      </c>
      <c r="F492" t="s">
        <v>7419</v>
      </c>
      <c r="G492" t="s">
        <v>74</v>
      </c>
      <c r="H492" t="s">
        <v>74</v>
      </c>
      <c r="I492" t="s">
        <v>7420</v>
      </c>
      <c r="J492" t="s">
        <v>4350</v>
      </c>
      <c r="K492" t="s">
        <v>74</v>
      </c>
      <c r="L492" t="s">
        <v>74</v>
      </c>
      <c r="M492" t="s">
        <v>77</v>
      </c>
      <c r="N492" t="s">
        <v>78</v>
      </c>
      <c r="O492" t="s">
        <v>74</v>
      </c>
      <c r="P492" t="s">
        <v>74</v>
      </c>
      <c r="Q492" t="s">
        <v>74</v>
      </c>
      <c r="R492" t="s">
        <v>74</v>
      </c>
      <c r="S492" t="s">
        <v>74</v>
      </c>
      <c r="T492" t="s">
        <v>7421</v>
      </c>
      <c r="U492" t="s">
        <v>7422</v>
      </c>
      <c r="V492" t="s">
        <v>7423</v>
      </c>
      <c r="W492" t="s">
        <v>7424</v>
      </c>
      <c r="X492" t="s">
        <v>7425</v>
      </c>
      <c r="Y492" t="s">
        <v>7426</v>
      </c>
      <c r="Z492" t="s">
        <v>7427</v>
      </c>
      <c r="AA492" t="s">
        <v>74</v>
      </c>
      <c r="AB492" t="s">
        <v>74</v>
      </c>
      <c r="AC492" t="s">
        <v>74</v>
      </c>
      <c r="AD492" t="s">
        <v>74</v>
      </c>
      <c r="AE492" t="s">
        <v>74</v>
      </c>
      <c r="AF492" t="s">
        <v>74</v>
      </c>
      <c r="AG492">
        <v>21</v>
      </c>
      <c r="AH492">
        <v>25</v>
      </c>
      <c r="AI492">
        <v>28</v>
      </c>
      <c r="AJ492">
        <v>1</v>
      </c>
      <c r="AK492">
        <v>18</v>
      </c>
      <c r="AL492" t="s">
        <v>1789</v>
      </c>
      <c r="AM492" t="s">
        <v>1790</v>
      </c>
      <c r="AN492" t="s">
        <v>1791</v>
      </c>
      <c r="AO492" t="s">
        <v>4354</v>
      </c>
      <c r="AP492" t="s">
        <v>74</v>
      </c>
      <c r="AQ492" t="s">
        <v>74</v>
      </c>
      <c r="AR492" t="s">
        <v>4355</v>
      </c>
      <c r="AS492" t="s">
        <v>4356</v>
      </c>
      <c r="AT492" t="s">
        <v>7383</v>
      </c>
      <c r="AU492">
        <v>2005</v>
      </c>
      <c r="AV492">
        <v>381</v>
      </c>
      <c r="AW492">
        <v>3</v>
      </c>
      <c r="AX492" t="s">
        <v>74</v>
      </c>
      <c r="AY492" t="s">
        <v>74</v>
      </c>
      <c r="AZ492" t="s">
        <v>74</v>
      </c>
      <c r="BA492" t="s">
        <v>74</v>
      </c>
      <c r="BB492">
        <v>737</v>
      </c>
      <c r="BC492">
        <v>741</v>
      </c>
      <c r="BD492" t="s">
        <v>74</v>
      </c>
      <c r="BE492" t="s">
        <v>7428</v>
      </c>
      <c r="BF492" t="str">
        <f>HYPERLINK("http://dx.doi.org/10.1007/s00216-004-2936-z","http://dx.doi.org/10.1007/s00216-004-2936-z")</f>
        <v>http://dx.doi.org/10.1007/s00216-004-2936-z</v>
      </c>
      <c r="BG492" t="s">
        <v>74</v>
      </c>
      <c r="BH492" t="s">
        <v>74</v>
      </c>
      <c r="BI492">
        <v>5</v>
      </c>
      <c r="BJ492" t="s">
        <v>1010</v>
      </c>
      <c r="BK492" t="s">
        <v>95</v>
      </c>
      <c r="BL492" t="s">
        <v>1011</v>
      </c>
      <c r="BM492" t="s">
        <v>7429</v>
      </c>
      <c r="BN492">
        <v>15655670</v>
      </c>
      <c r="BO492" t="s">
        <v>74</v>
      </c>
      <c r="BP492" t="s">
        <v>74</v>
      </c>
      <c r="BQ492" t="s">
        <v>74</v>
      </c>
      <c r="BR492" t="s">
        <v>97</v>
      </c>
      <c r="BS492" t="s">
        <v>7430</v>
      </c>
      <c r="BT492" t="str">
        <f>HYPERLINK("https%3A%2F%2Fwww.webofscience.com%2Fwos%2Fwoscc%2Ffull-record%2FWOS:000227697400027","View Full Record in Web of Science")</f>
        <v>View Full Record in Web of Science</v>
      </c>
    </row>
    <row r="493" spans="1:72" x14ac:dyDescent="0.15">
      <c r="A493" t="s">
        <v>72</v>
      </c>
      <c r="B493" t="s">
        <v>7431</v>
      </c>
      <c r="C493" t="s">
        <v>74</v>
      </c>
      <c r="D493" t="s">
        <v>74</v>
      </c>
      <c r="E493" t="s">
        <v>74</v>
      </c>
      <c r="F493" t="s">
        <v>7431</v>
      </c>
      <c r="G493" t="s">
        <v>74</v>
      </c>
      <c r="H493" t="s">
        <v>74</v>
      </c>
      <c r="I493" t="s">
        <v>7432</v>
      </c>
      <c r="J493" t="s">
        <v>2910</v>
      </c>
      <c r="K493" t="s">
        <v>74</v>
      </c>
      <c r="L493" t="s">
        <v>74</v>
      </c>
      <c r="M493" t="s">
        <v>77</v>
      </c>
      <c r="N493" t="s">
        <v>495</v>
      </c>
      <c r="O493" t="s">
        <v>7433</v>
      </c>
      <c r="P493" t="s">
        <v>7434</v>
      </c>
      <c r="Q493" t="s">
        <v>7435</v>
      </c>
      <c r="R493" t="s">
        <v>74</v>
      </c>
      <c r="S493" t="s">
        <v>74</v>
      </c>
      <c r="T493" t="s">
        <v>7436</v>
      </c>
      <c r="U493" t="s">
        <v>74</v>
      </c>
      <c r="V493" t="s">
        <v>7437</v>
      </c>
      <c r="W493" t="s">
        <v>7438</v>
      </c>
      <c r="X493" t="s">
        <v>7439</v>
      </c>
      <c r="Y493" t="s">
        <v>7440</v>
      </c>
      <c r="Z493" t="s">
        <v>74</v>
      </c>
      <c r="AA493" t="s">
        <v>7441</v>
      </c>
      <c r="AB493" t="s">
        <v>7442</v>
      </c>
      <c r="AC493" t="s">
        <v>74</v>
      </c>
      <c r="AD493" t="s">
        <v>74</v>
      </c>
      <c r="AE493" t="s">
        <v>74</v>
      </c>
      <c r="AF493" t="s">
        <v>74</v>
      </c>
      <c r="AG493">
        <v>17</v>
      </c>
      <c r="AH493">
        <v>1</v>
      </c>
      <c r="AI493">
        <v>1</v>
      </c>
      <c r="AJ493">
        <v>0</v>
      </c>
      <c r="AK493">
        <v>2</v>
      </c>
      <c r="AL493" t="s">
        <v>255</v>
      </c>
      <c r="AM493" t="s">
        <v>256</v>
      </c>
      <c r="AN493" t="s">
        <v>257</v>
      </c>
      <c r="AO493" t="s">
        <v>2920</v>
      </c>
      <c r="AP493" t="s">
        <v>74</v>
      </c>
      <c r="AQ493" t="s">
        <v>74</v>
      </c>
      <c r="AR493" t="s">
        <v>2921</v>
      </c>
      <c r="AS493" t="s">
        <v>2922</v>
      </c>
      <c r="AT493" t="s">
        <v>7383</v>
      </c>
      <c r="AU493">
        <v>2005</v>
      </c>
      <c r="AV493">
        <v>62</v>
      </c>
      <c r="AW493">
        <v>2</v>
      </c>
      <c r="AX493" t="s">
        <v>74</v>
      </c>
      <c r="AY493" t="s">
        <v>74</v>
      </c>
      <c r="AZ493" t="s">
        <v>74</v>
      </c>
      <c r="BA493" t="s">
        <v>74</v>
      </c>
      <c r="BB493">
        <v>255</v>
      </c>
      <c r="BC493">
        <v>259</v>
      </c>
      <c r="BD493" t="s">
        <v>74</v>
      </c>
      <c r="BE493" t="s">
        <v>7443</v>
      </c>
      <c r="BF493" t="str">
        <f>HYPERLINK("http://dx.doi.org/10.1016/j.apradiso.2004.08.037","http://dx.doi.org/10.1016/j.apradiso.2004.08.037")</f>
        <v>http://dx.doi.org/10.1016/j.apradiso.2004.08.037</v>
      </c>
      <c r="BG493" t="s">
        <v>74</v>
      </c>
      <c r="BH493" t="s">
        <v>74</v>
      </c>
      <c r="BI493">
        <v>5</v>
      </c>
      <c r="BJ493" t="s">
        <v>2924</v>
      </c>
      <c r="BK493" t="s">
        <v>514</v>
      </c>
      <c r="BL493" t="s">
        <v>2925</v>
      </c>
      <c r="BM493" t="s">
        <v>7444</v>
      </c>
      <c r="BN493">
        <v>15607458</v>
      </c>
      <c r="BO493" t="s">
        <v>74</v>
      </c>
      <c r="BP493" t="s">
        <v>74</v>
      </c>
      <c r="BQ493" t="s">
        <v>74</v>
      </c>
      <c r="BR493" t="s">
        <v>97</v>
      </c>
      <c r="BS493" t="s">
        <v>7445</v>
      </c>
      <c r="BT493" t="str">
        <f>HYPERLINK("https%3A%2F%2Fwww.webofscience.com%2Fwos%2Fwoscc%2Ffull-record%2FWOS:000226453600023","View Full Record in Web of Science")</f>
        <v>View Full Record in Web of Science</v>
      </c>
    </row>
    <row r="494" spans="1:72" x14ac:dyDescent="0.15">
      <c r="A494" t="s">
        <v>72</v>
      </c>
      <c r="B494" t="s">
        <v>7446</v>
      </c>
      <c r="C494" t="s">
        <v>74</v>
      </c>
      <c r="D494" t="s">
        <v>74</v>
      </c>
      <c r="E494" t="s">
        <v>74</v>
      </c>
      <c r="F494" t="s">
        <v>7446</v>
      </c>
      <c r="G494" t="s">
        <v>74</v>
      </c>
      <c r="H494" t="s">
        <v>74</v>
      </c>
      <c r="I494" t="s">
        <v>7447</v>
      </c>
      <c r="J494" t="s">
        <v>2947</v>
      </c>
      <c r="K494" t="s">
        <v>74</v>
      </c>
      <c r="L494" t="s">
        <v>74</v>
      </c>
      <c r="M494" t="s">
        <v>77</v>
      </c>
      <c r="N494" t="s">
        <v>78</v>
      </c>
      <c r="O494" t="s">
        <v>74</v>
      </c>
      <c r="P494" t="s">
        <v>74</v>
      </c>
      <c r="Q494" t="s">
        <v>74</v>
      </c>
      <c r="R494" t="s">
        <v>74</v>
      </c>
      <c r="S494" t="s">
        <v>74</v>
      </c>
      <c r="T494" t="s">
        <v>74</v>
      </c>
      <c r="U494" t="s">
        <v>7448</v>
      </c>
      <c r="V494" t="s">
        <v>7449</v>
      </c>
      <c r="W494" t="s">
        <v>7450</v>
      </c>
      <c r="X494" t="s">
        <v>7451</v>
      </c>
      <c r="Y494" t="s">
        <v>7452</v>
      </c>
      <c r="Z494" t="s">
        <v>7453</v>
      </c>
      <c r="AA494" t="s">
        <v>74</v>
      </c>
      <c r="AB494" t="s">
        <v>74</v>
      </c>
      <c r="AC494" t="s">
        <v>74</v>
      </c>
      <c r="AD494" t="s">
        <v>74</v>
      </c>
      <c r="AE494" t="s">
        <v>74</v>
      </c>
      <c r="AF494" t="s">
        <v>74</v>
      </c>
      <c r="AG494">
        <v>33</v>
      </c>
      <c r="AH494">
        <v>32</v>
      </c>
      <c r="AI494">
        <v>38</v>
      </c>
      <c r="AJ494">
        <v>1</v>
      </c>
      <c r="AK494">
        <v>19</v>
      </c>
      <c r="AL494" t="s">
        <v>2955</v>
      </c>
      <c r="AM494" t="s">
        <v>1630</v>
      </c>
      <c r="AN494" t="s">
        <v>2956</v>
      </c>
      <c r="AO494" t="s">
        <v>2957</v>
      </c>
      <c r="AP494" t="s">
        <v>74</v>
      </c>
      <c r="AQ494" t="s">
        <v>74</v>
      </c>
      <c r="AR494" t="s">
        <v>2959</v>
      </c>
      <c r="AS494" t="s">
        <v>2960</v>
      </c>
      <c r="AT494" t="s">
        <v>7383</v>
      </c>
      <c r="AU494">
        <v>2005</v>
      </c>
      <c r="AV494">
        <v>37</v>
      </c>
      <c r="AW494">
        <v>1</v>
      </c>
      <c r="AX494" t="s">
        <v>74</v>
      </c>
      <c r="AY494" t="s">
        <v>74</v>
      </c>
      <c r="AZ494" t="s">
        <v>74</v>
      </c>
      <c r="BA494" t="s">
        <v>74</v>
      </c>
      <c r="BB494">
        <v>1</v>
      </c>
      <c r="BC494">
        <v>10</v>
      </c>
      <c r="BD494" t="s">
        <v>74</v>
      </c>
      <c r="BE494" t="s">
        <v>7454</v>
      </c>
      <c r="BF494" t="str">
        <f>HYPERLINK("http://dx.doi.org/10.1657/1523-0430(2005)037[0001:FOSHWC]2.0.CO;2","http://dx.doi.org/10.1657/1523-0430(2005)037[0001:FOSHWC]2.0.CO;2")</f>
        <v>http://dx.doi.org/10.1657/1523-0430(2005)037[0001:FOSHWC]2.0.CO;2</v>
      </c>
      <c r="BG494" t="s">
        <v>74</v>
      </c>
      <c r="BH494" t="s">
        <v>74</v>
      </c>
      <c r="BI494">
        <v>10</v>
      </c>
      <c r="BJ494" t="s">
        <v>2962</v>
      </c>
      <c r="BK494" t="s">
        <v>95</v>
      </c>
      <c r="BL494" t="s">
        <v>2963</v>
      </c>
      <c r="BM494" t="s">
        <v>7455</v>
      </c>
      <c r="BN494" t="s">
        <v>74</v>
      </c>
      <c r="BO494" t="s">
        <v>143</v>
      </c>
      <c r="BP494" t="s">
        <v>74</v>
      </c>
      <c r="BQ494" t="s">
        <v>74</v>
      </c>
      <c r="BR494" t="s">
        <v>97</v>
      </c>
      <c r="BS494" t="s">
        <v>7456</v>
      </c>
      <c r="BT494" t="str">
        <f>HYPERLINK("https%3A%2F%2Fwww.webofscience.com%2Fwos%2Fwoscc%2Ffull-record%2FWOS:000229051500001","View Full Record in Web of Science")</f>
        <v>View Full Record in Web of Science</v>
      </c>
    </row>
    <row r="495" spans="1:72" x14ac:dyDescent="0.15">
      <c r="A495" t="s">
        <v>72</v>
      </c>
      <c r="B495" t="s">
        <v>7457</v>
      </c>
      <c r="C495" t="s">
        <v>74</v>
      </c>
      <c r="D495" t="s">
        <v>74</v>
      </c>
      <c r="E495" t="s">
        <v>74</v>
      </c>
      <c r="F495" t="s">
        <v>7457</v>
      </c>
      <c r="G495" t="s">
        <v>74</v>
      </c>
      <c r="H495" t="s">
        <v>74</v>
      </c>
      <c r="I495" t="s">
        <v>7458</v>
      </c>
      <c r="J495" t="s">
        <v>2947</v>
      </c>
      <c r="K495" t="s">
        <v>74</v>
      </c>
      <c r="L495" t="s">
        <v>74</v>
      </c>
      <c r="M495" t="s">
        <v>77</v>
      </c>
      <c r="N495" t="s">
        <v>78</v>
      </c>
      <c r="O495" t="s">
        <v>74</v>
      </c>
      <c r="P495" t="s">
        <v>74</v>
      </c>
      <c r="Q495" t="s">
        <v>74</v>
      </c>
      <c r="R495" t="s">
        <v>74</v>
      </c>
      <c r="S495" t="s">
        <v>74</v>
      </c>
      <c r="T495" t="s">
        <v>74</v>
      </c>
      <c r="U495" t="s">
        <v>7459</v>
      </c>
      <c r="V495" t="s">
        <v>7460</v>
      </c>
      <c r="W495" t="s">
        <v>7461</v>
      </c>
      <c r="X495" t="s">
        <v>7462</v>
      </c>
      <c r="Y495" t="s">
        <v>7463</v>
      </c>
      <c r="Z495" t="s">
        <v>7464</v>
      </c>
      <c r="AA495" t="s">
        <v>74</v>
      </c>
      <c r="AB495" t="s">
        <v>74</v>
      </c>
      <c r="AC495" t="s">
        <v>74</v>
      </c>
      <c r="AD495" t="s">
        <v>74</v>
      </c>
      <c r="AE495" t="s">
        <v>74</v>
      </c>
      <c r="AF495" t="s">
        <v>74</v>
      </c>
      <c r="AG495">
        <v>60</v>
      </c>
      <c r="AH495">
        <v>5</v>
      </c>
      <c r="AI495">
        <v>7</v>
      </c>
      <c r="AJ495">
        <v>0</v>
      </c>
      <c r="AK495">
        <v>7</v>
      </c>
      <c r="AL495" t="s">
        <v>394</v>
      </c>
      <c r="AM495" t="s">
        <v>395</v>
      </c>
      <c r="AN495" t="s">
        <v>396</v>
      </c>
      <c r="AO495" t="s">
        <v>2957</v>
      </c>
      <c r="AP495" t="s">
        <v>2958</v>
      </c>
      <c r="AQ495" t="s">
        <v>74</v>
      </c>
      <c r="AR495" t="s">
        <v>2959</v>
      </c>
      <c r="AS495" t="s">
        <v>2960</v>
      </c>
      <c r="AT495" t="s">
        <v>7383</v>
      </c>
      <c r="AU495">
        <v>2005</v>
      </c>
      <c r="AV495">
        <v>37</v>
      </c>
      <c r="AW495">
        <v>1</v>
      </c>
      <c r="AX495" t="s">
        <v>74</v>
      </c>
      <c r="AY495" t="s">
        <v>74</v>
      </c>
      <c r="AZ495" t="s">
        <v>74</v>
      </c>
      <c r="BA495" t="s">
        <v>74</v>
      </c>
      <c r="BB495">
        <v>11</v>
      </c>
      <c r="BC495">
        <v>15</v>
      </c>
      <c r="BD495" t="s">
        <v>74</v>
      </c>
      <c r="BE495" t="s">
        <v>7465</v>
      </c>
      <c r="BF495" t="str">
        <f>HYPERLINK("http://dx.doi.org/10.1657/1523-0430(2005)037[0011:URAPFH]2.0.CO;2","http://dx.doi.org/10.1657/1523-0430(2005)037[0011:URAPFH]2.0.CO;2")</f>
        <v>http://dx.doi.org/10.1657/1523-0430(2005)037[0011:URAPFH]2.0.CO;2</v>
      </c>
      <c r="BG495" t="s">
        <v>74</v>
      </c>
      <c r="BH495" t="s">
        <v>74</v>
      </c>
      <c r="BI495">
        <v>5</v>
      </c>
      <c r="BJ495" t="s">
        <v>2962</v>
      </c>
      <c r="BK495" t="s">
        <v>95</v>
      </c>
      <c r="BL495" t="s">
        <v>2963</v>
      </c>
      <c r="BM495" t="s">
        <v>7455</v>
      </c>
      <c r="BN495" t="s">
        <v>74</v>
      </c>
      <c r="BO495" t="s">
        <v>143</v>
      </c>
      <c r="BP495" t="s">
        <v>74</v>
      </c>
      <c r="BQ495" t="s">
        <v>74</v>
      </c>
      <c r="BR495" t="s">
        <v>97</v>
      </c>
      <c r="BS495" t="s">
        <v>7466</v>
      </c>
      <c r="BT495" t="str">
        <f>HYPERLINK("https%3A%2F%2Fwww.webofscience.com%2Fwos%2Fwoscc%2Ffull-record%2FWOS:000229051500002","View Full Record in Web of Science")</f>
        <v>View Full Record in Web of Science</v>
      </c>
    </row>
    <row r="496" spans="1:72" x14ac:dyDescent="0.15">
      <c r="A496" t="s">
        <v>72</v>
      </c>
      <c r="B496" t="s">
        <v>3118</v>
      </c>
      <c r="C496" t="s">
        <v>74</v>
      </c>
      <c r="D496" t="s">
        <v>74</v>
      </c>
      <c r="E496" t="s">
        <v>74</v>
      </c>
      <c r="F496" t="s">
        <v>3118</v>
      </c>
      <c r="G496" t="s">
        <v>74</v>
      </c>
      <c r="H496" t="s">
        <v>74</v>
      </c>
      <c r="I496" t="s">
        <v>7467</v>
      </c>
      <c r="J496" t="s">
        <v>2947</v>
      </c>
      <c r="K496" t="s">
        <v>74</v>
      </c>
      <c r="L496" t="s">
        <v>74</v>
      </c>
      <c r="M496" t="s">
        <v>77</v>
      </c>
      <c r="N496" t="s">
        <v>78</v>
      </c>
      <c r="O496" t="s">
        <v>74</v>
      </c>
      <c r="P496" t="s">
        <v>74</v>
      </c>
      <c r="Q496" t="s">
        <v>74</v>
      </c>
      <c r="R496" t="s">
        <v>74</v>
      </c>
      <c r="S496" t="s">
        <v>74</v>
      </c>
      <c r="T496" t="s">
        <v>74</v>
      </c>
      <c r="U496" t="s">
        <v>7468</v>
      </c>
      <c r="V496" t="s">
        <v>7469</v>
      </c>
      <c r="W496" t="s">
        <v>7470</v>
      </c>
      <c r="X496" t="s">
        <v>7471</v>
      </c>
      <c r="Y496" t="s">
        <v>7472</v>
      </c>
      <c r="Z496" t="s">
        <v>7473</v>
      </c>
      <c r="AA496" t="s">
        <v>7474</v>
      </c>
      <c r="AB496" t="s">
        <v>7475</v>
      </c>
      <c r="AC496" t="s">
        <v>74</v>
      </c>
      <c r="AD496" t="s">
        <v>74</v>
      </c>
      <c r="AE496" t="s">
        <v>74</v>
      </c>
      <c r="AF496" t="s">
        <v>74</v>
      </c>
      <c r="AG496">
        <v>42</v>
      </c>
      <c r="AH496">
        <v>45</v>
      </c>
      <c r="AI496">
        <v>53</v>
      </c>
      <c r="AJ496">
        <v>0</v>
      </c>
      <c r="AK496">
        <v>27</v>
      </c>
      <c r="AL496" t="s">
        <v>2955</v>
      </c>
      <c r="AM496" t="s">
        <v>1630</v>
      </c>
      <c r="AN496" t="s">
        <v>2956</v>
      </c>
      <c r="AO496" t="s">
        <v>2957</v>
      </c>
      <c r="AP496" t="s">
        <v>2958</v>
      </c>
      <c r="AQ496" t="s">
        <v>74</v>
      </c>
      <c r="AR496" t="s">
        <v>2959</v>
      </c>
      <c r="AS496" t="s">
        <v>2960</v>
      </c>
      <c r="AT496" t="s">
        <v>7383</v>
      </c>
      <c r="AU496">
        <v>2005</v>
      </c>
      <c r="AV496">
        <v>37</v>
      </c>
      <c r="AW496">
        <v>1</v>
      </c>
      <c r="AX496" t="s">
        <v>74</v>
      </c>
      <c r="AY496" t="s">
        <v>74</v>
      </c>
      <c r="AZ496" t="s">
        <v>74</v>
      </c>
      <c r="BA496" t="s">
        <v>74</v>
      </c>
      <c r="BB496">
        <v>16</v>
      </c>
      <c r="BC496">
        <v>24</v>
      </c>
      <c r="BD496" t="s">
        <v>74</v>
      </c>
      <c r="BE496" t="s">
        <v>7476</v>
      </c>
      <c r="BF496" t="str">
        <f>HYPERLINK("http://dx.doi.org/10.1657/1523-0430(2005)037[0016:DWATGA]2.0.CO;2","http://dx.doi.org/10.1657/1523-0430(2005)037[0016:DWATGA]2.0.CO;2")</f>
        <v>http://dx.doi.org/10.1657/1523-0430(2005)037[0016:DWATGA]2.0.CO;2</v>
      </c>
      <c r="BG496" t="s">
        <v>74</v>
      </c>
      <c r="BH496" t="s">
        <v>74</v>
      </c>
      <c r="BI496">
        <v>9</v>
      </c>
      <c r="BJ496" t="s">
        <v>2962</v>
      </c>
      <c r="BK496" t="s">
        <v>95</v>
      </c>
      <c r="BL496" t="s">
        <v>2963</v>
      </c>
      <c r="BM496" t="s">
        <v>7455</v>
      </c>
      <c r="BN496" t="s">
        <v>74</v>
      </c>
      <c r="BO496" t="s">
        <v>143</v>
      </c>
      <c r="BP496" t="s">
        <v>74</v>
      </c>
      <c r="BQ496" t="s">
        <v>74</v>
      </c>
      <c r="BR496" t="s">
        <v>97</v>
      </c>
      <c r="BS496" t="s">
        <v>7477</v>
      </c>
      <c r="BT496" t="str">
        <f>HYPERLINK("https%3A%2F%2Fwww.webofscience.com%2Fwos%2Fwoscc%2Ffull-record%2FWOS:000229051500003","View Full Record in Web of Science")</f>
        <v>View Full Record in Web of Science</v>
      </c>
    </row>
    <row r="497" spans="1:72" x14ac:dyDescent="0.15">
      <c r="A497" t="s">
        <v>72</v>
      </c>
      <c r="B497" t="s">
        <v>7478</v>
      </c>
      <c r="C497" t="s">
        <v>74</v>
      </c>
      <c r="D497" t="s">
        <v>74</v>
      </c>
      <c r="E497" t="s">
        <v>74</v>
      </c>
      <c r="F497" t="s">
        <v>7478</v>
      </c>
      <c r="G497" t="s">
        <v>74</v>
      </c>
      <c r="H497" t="s">
        <v>74</v>
      </c>
      <c r="I497" t="s">
        <v>7479</v>
      </c>
      <c r="J497" t="s">
        <v>2947</v>
      </c>
      <c r="K497" t="s">
        <v>74</v>
      </c>
      <c r="L497" t="s">
        <v>74</v>
      </c>
      <c r="M497" t="s">
        <v>77</v>
      </c>
      <c r="N497" t="s">
        <v>78</v>
      </c>
      <c r="O497" t="s">
        <v>74</v>
      </c>
      <c r="P497" t="s">
        <v>74</v>
      </c>
      <c r="Q497" t="s">
        <v>74</v>
      </c>
      <c r="R497" t="s">
        <v>74</v>
      </c>
      <c r="S497" t="s">
        <v>74</v>
      </c>
      <c r="T497" t="s">
        <v>74</v>
      </c>
      <c r="U497" t="s">
        <v>7480</v>
      </c>
      <c r="V497" t="s">
        <v>7481</v>
      </c>
      <c r="W497" t="s">
        <v>7482</v>
      </c>
      <c r="X497" t="s">
        <v>7483</v>
      </c>
      <c r="Y497" t="s">
        <v>7484</v>
      </c>
      <c r="Z497" t="s">
        <v>7485</v>
      </c>
      <c r="AA497" t="s">
        <v>7486</v>
      </c>
      <c r="AB497" t="s">
        <v>7487</v>
      </c>
      <c r="AC497" t="s">
        <v>74</v>
      </c>
      <c r="AD497" t="s">
        <v>74</v>
      </c>
      <c r="AE497" t="s">
        <v>74</v>
      </c>
      <c r="AF497" t="s">
        <v>74</v>
      </c>
      <c r="AG497">
        <v>32</v>
      </c>
      <c r="AH497">
        <v>37</v>
      </c>
      <c r="AI497">
        <v>46</v>
      </c>
      <c r="AJ497">
        <v>0</v>
      </c>
      <c r="AK497">
        <v>28</v>
      </c>
      <c r="AL497" t="s">
        <v>394</v>
      </c>
      <c r="AM497" t="s">
        <v>395</v>
      </c>
      <c r="AN497" t="s">
        <v>396</v>
      </c>
      <c r="AO497" t="s">
        <v>2957</v>
      </c>
      <c r="AP497" t="s">
        <v>2958</v>
      </c>
      <c r="AQ497" t="s">
        <v>74</v>
      </c>
      <c r="AR497" t="s">
        <v>2959</v>
      </c>
      <c r="AS497" t="s">
        <v>2960</v>
      </c>
      <c r="AT497" t="s">
        <v>7383</v>
      </c>
      <c r="AU497">
        <v>2005</v>
      </c>
      <c r="AV497">
        <v>37</v>
      </c>
      <c r="AW497">
        <v>1</v>
      </c>
      <c r="AX497" t="s">
        <v>74</v>
      </c>
      <c r="AY497" t="s">
        <v>74</v>
      </c>
      <c r="AZ497" t="s">
        <v>74</v>
      </c>
      <c r="BA497" t="s">
        <v>74</v>
      </c>
      <c r="BB497">
        <v>25</v>
      </c>
      <c r="BC497">
        <v>33</v>
      </c>
      <c r="BD497" t="s">
        <v>74</v>
      </c>
      <c r="BE497" t="s">
        <v>7488</v>
      </c>
      <c r="BF497" t="str">
        <f>HYPERLINK("http://dx.doi.org/10.1657/1523-0430(2005)037[0025:SATHOV]2.0.CO;2","http://dx.doi.org/10.1657/1523-0430(2005)037[0025:SATHOV]2.0.CO;2")</f>
        <v>http://dx.doi.org/10.1657/1523-0430(2005)037[0025:SATHOV]2.0.CO;2</v>
      </c>
      <c r="BG497" t="s">
        <v>74</v>
      </c>
      <c r="BH497" t="s">
        <v>74</v>
      </c>
      <c r="BI497">
        <v>9</v>
      </c>
      <c r="BJ497" t="s">
        <v>2962</v>
      </c>
      <c r="BK497" t="s">
        <v>95</v>
      </c>
      <c r="BL497" t="s">
        <v>2963</v>
      </c>
      <c r="BM497" t="s">
        <v>7455</v>
      </c>
      <c r="BN497" t="s">
        <v>74</v>
      </c>
      <c r="BO497" t="s">
        <v>143</v>
      </c>
      <c r="BP497" t="s">
        <v>74</v>
      </c>
      <c r="BQ497" t="s">
        <v>74</v>
      </c>
      <c r="BR497" t="s">
        <v>97</v>
      </c>
      <c r="BS497" t="s">
        <v>7489</v>
      </c>
      <c r="BT497" t="str">
        <f>HYPERLINK("https%3A%2F%2Fwww.webofscience.com%2Fwos%2Fwoscc%2Ffull-record%2FWOS:000229051500004","View Full Record in Web of Science")</f>
        <v>View Full Record in Web of Science</v>
      </c>
    </row>
    <row r="498" spans="1:72" x14ac:dyDescent="0.15">
      <c r="A498" t="s">
        <v>72</v>
      </c>
      <c r="B498" t="s">
        <v>7490</v>
      </c>
      <c r="C498" t="s">
        <v>74</v>
      </c>
      <c r="D498" t="s">
        <v>74</v>
      </c>
      <c r="E498" t="s">
        <v>74</v>
      </c>
      <c r="F498" t="s">
        <v>7490</v>
      </c>
      <c r="G498" t="s">
        <v>74</v>
      </c>
      <c r="H498" t="s">
        <v>74</v>
      </c>
      <c r="I498" t="s">
        <v>7491</v>
      </c>
      <c r="J498" t="s">
        <v>2947</v>
      </c>
      <c r="K498" t="s">
        <v>74</v>
      </c>
      <c r="L498" t="s">
        <v>74</v>
      </c>
      <c r="M498" t="s">
        <v>77</v>
      </c>
      <c r="N498" t="s">
        <v>78</v>
      </c>
      <c r="O498" t="s">
        <v>74</v>
      </c>
      <c r="P498" t="s">
        <v>74</v>
      </c>
      <c r="Q498" t="s">
        <v>74</v>
      </c>
      <c r="R498" t="s">
        <v>74</v>
      </c>
      <c r="S498" t="s">
        <v>74</v>
      </c>
      <c r="T498" t="s">
        <v>74</v>
      </c>
      <c r="U498" t="s">
        <v>7492</v>
      </c>
      <c r="V498" t="s">
        <v>7493</v>
      </c>
      <c r="W498" t="s">
        <v>7494</v>
      </c>
      <c r="X498" t="s">
        <v>7495</v>
      </c>
      <c r="Y498" t="s">
        <v>7496</v>
      </c>
      <c r="Z498" t="s">
        <v>7497</v>
      </c>
      <c r="AA498" t="s">
        <v>74</v>
      </c>
      <c r="AB498" t="s">
        <v>74</v>
      </c>
      <c r="AC498" t="s">
        <v>74</v>
      </c>
      <c r="AD498" t="s">
        <v>74</v>
      </c>
      <c r="AE498" t="s">
        <v>74</v>
      </c>
      <c r="AF498" t="s">
        <v>74</v>
      </c>
      <c r="AG498">
        <v>22</v>
      </c>
      <c r="AH498">
        <v>15</v>
      </c>
      <c r="AI498">
        <v>17</v>
      </c>
      <c r="AJ498">
        <v>1</v>
      </c>
      <c r="AK498">
        <v>12</v>
      </c>
      <c r="AL498" t="s">
        <v>2955</v>
      </c>
      <c r="AM498" t="s">
        <v>1630</v>
      </c>
      <c r="AN498" t="s">
        <v>2956</v>
      </c>
      <c r="AO498" t="s">
        <v>2957</v>
      </c>
      <c r="AP498" t="s">
        <v>74</v>
      </c>
      <c r="AQ498" t="s">
        <v>74</v>
      </c>
      <c r="AR498" t="s">
        <v>2959</v>
      </c>
      <c r="AS498" t="s">
        <v>2960</v>
      </c>
      <c r="AT498" t="s">
        <v>7383</v>
      </c>
      <c r="AU498">
        <v>2005</v>
      </c>
      <c r="AV498">
        <v>37</v>
      </c>
      <c r="AW498">
        <v>1</v>
      </c>
      <c r="AX498" t="s">
        <v>74</v>
      </c>
      <c r="AY498" t="s">
        <v>74</v>
      </c>
      <c r="AZ498" t="s">
        <v>74</v>
      </c>
      <c r="BA498" t="s">
        <v>74</v>
      </c>
      <c r="BB498">
        <v>34</v>
      </c>
      <c r="BC498">
        <v>40</v>
      </c>
      <c r="BD498" t="s">
        <v>74</v>
      </c>
      <c r="BE498" t="s">
        <v>7498</v>
      </c>
      <c r="BF498" t="str">
        <f>HYPERLINK("http://dx.doi.org/10.1657/1523-0430(2005)037[0034:MDOAMT]2.0.CO;2","http://dx.doi.org/10.1657/1523-0430(2005)037[0034:MDOAMT]2.0.CO;2")</f>
        <v>http://dx.doi.org/10.1657/1523-0430(2005)037[0034:MDOAMT]2.0.CO;2</v>
      </c>
      <c r="BG498" t="s">
        <v>74</v>
      </c>
      <c r="BH498" t="s">
        <v>74</v>
      </c>
      <c r="BI498">
        <v>7</v>
      </c>
      <c r="BJ498" t="s">
        <v>2962</v>
      </c>
      <c r="BK498" t="s">
        <v>95</v>
      </c>
      <c r="BL498" t="s">
        <v>2963</v>
      </c>
      <c r="BM498" t="s">
        <v>7455</v>
      </c>
      <c r="BN498" t="s">
        <v>74</v>
      </c>
      <c r="BO498" t="s">
        <v>143</v>
      </c>
      <c r="BP498" t="s">
        <v>74</v>
      </c>
      <c r="BQ498" t="s">
        <v>74</v>
      </c>
      <c r="BR498" t="s">
        <v>97</v>
      </c>
      <c r="BS498" t="s">
        <v>7499</v>
      </c>
      <c r="BT498" t="str">
        <f>HYPERLINK("https%3A%2F%2Fwww.webofscience.com%2Fwos%2Fwoscc%2Ffull-record%2FWOS:000229051500005","View Full Record in Web of Science")</f>
        <v>View Full Record in Web of Science</v>
      </c>
    </row>
    <row r="499" spans="1:72" x14ac:dyDescent="0.15">
      <c r="A499" t="s">
        <v>72</v>
      </c>
      <c r="B499" t="s">
        <v>7500</v>
      </c>
      <c r="C499" t="s">
        <v>74</v>
      </c>
      <c r="D499" t="s">
        <v>74</v>
      </c>
      <c r="E499" t="s">
        <v>74</v>
      </c>
      <c r="F499" t="s">
        <v>7500</v>
      </c>
      <c r="G499" t="s">
        <v>74</v>
      </c>
      <c r="H499" t="s">
        <v>74</v>
      </c>
      <c r="I499" t="s">
        <v>7501</v>
      </c>
      <c r="J499" t="s">
        <v>2947</v>
      </c>
      <c r="K499" t="s">
        <v>74</v>
      </c>
      <c r="L499" t="s">
        <v>74</v>
      </c>
      <c r="M499" t="s">
        <v>77</v>
      </c>
      <c r="N499" t="s">
        <v>78</v>
      </c>
      <c r="O499" t="s">
        <v>74</v>
      </c>
      <c r="P499" t="s">
        <v>74</v>
      </c>
      <c r="Q499" t="s">
        <v>74</v>
      </c>
      <c r="R499" t="s">
        <v>74</v>
      </c>
      <c r="S499" t="s">
        <v>74</v>
      </c>
      <c r="T499" t="s">
        <v>74</v>
      </c>
      <c r="U499" t="s">
        <v>7502</v>
      </c>
      <c r="V499" t="s">
        <v>7503</v>
      </c>
      <c r="W499" t="s">
        <v>7504</v>
      </c>
      <c r="X499" t="s">
        <v>7505</v>
      </c>
      <c r="Y499" t="s">
        <v>7506</v>
      </c>
      <c r="Z499" t="s">
        <v>7507</v>
      </c>
      <c r="AA499" t="s">
        <v>7508</v>
      </c>
      <c r="AB499" t="s">
        <v>74</v>
      </c>
      <c r="AC499" t="s">
        <v>74</v>
      </c>
      <c r="AD499" t="s">
        <v>74</v>
      </c>
      <c r="AE499" t="s">
        <v>74</v>
      </c>
      <c r="AF499" t="s">
        <v>74</v>
      </c>
      <c r="AG499">
        <v>42</v>
      </c>
      <c r="AH499">
        <v>5</v>
      </c>
      <c r="AI499">
        <v>6</v>
      </c>
      <c r="AJ499">
        <v>0</v>
      </c>
      <c r="AK499">
        <v>12</v>
      </c>
      <c r="AL499" t="s">
        <v>394</v>
      </c>
      <c r="AM499" t="s">
        <v>395</v>
      </c>
      <c r="AN499" t="s">
        <v>396</v>
      </c>
      <c r="AO499" t="s">
        <v>2957</v>
      </c>
      <c r="AP499" t="s">
        <v>2958</v>
      </c>
      <c r="AQ499" t="s">
        <v>74</v>
      </c>
      <c r="AR499" t="s">
        <v>2959</v>
      </c>
      <c r="AS499" t="s">
        <v>2960</v>
      </c>
      <c r="AT499" t="s">
        <v>7383</v>
      </c>
      <c r="AU499">
        <v>2005</v>
      </c>
      <c r="AV499">
        <v>37</v>
      </c>
      <c r="AW499">
        <v>1</v>
      </c>
      <c r="AX499" t="s">
        <v>74</v>
      </c>
      <c r="AY499" t="s">
        <v>74</v>
      </c>
      <c r="AZ499" t="s">
        <v>74</v>
      </c>
      <c r="BA499" t="s">
        <v>74</v>
      </c>
      <c r="BB499">
        <v>41</v>
      </c>
      <c r="BC499">
        <v>48</v>
      </c>
      <c r="BD499" t="s">
        <v>74</v>
      </c>
      <c r="BE499" t="s">
        <v>7509</v>
      </c>
      <c r="BF499" t="str">
        <f>HYPERLINK("http://dx.doi.org/10.1657/1523-0430(2005)037[0041:IPDASP]2.0.CO;2","http://dx.doi.org/10.1657/1523-0430(2005)037[0041:IPDASP]2.0.CO;2")</f>
        <v>http://dx.doi.org/10.1657/1523-0430(2005)037[0041:IPDASP]2.0.CO;2</v>
      </c>
      <c r="BG499" t="s">
        <v>74</v>
      </c>
      <c r="BH499" t="s">
        <v>74</v>
      </c>
      <c r="BI499">
        <v>8</v>
      </c>
      <c r="BJ499" t="s">
        <v>2962</v>
      </c>
      <c r="BK499" t="s">
        <v>95</v>
      </c>
      <c r="BL499" t="s">
        <v>2963</v>
      </c>
      <c r="BM499" t="s">
        <v>7455</v>
      </c>
      <c r="BN499" t="s">
        <v>74</v>
      </c>
      <c r="BO499" t="s">
        <v>6908</v>
      </c>
      <c r="BP499" t="s">
        <v>74</v>
      </c>
      <c r="BQ499" t="s">
        <v>74</v>
      </c>
      <c r="BR499" t="s">
        <v>97</v>
      </c>
      <c r="BS499" t="s">
        <v>7510</v>
      </c>
      <c r="BT499" t="str">
        <f>HYPERLINK("https%3A%2F%2Fwww.webofscience.com%2Fwos%2Fwoscc%2Ffull-record%2FWOS:000229051500006","View Full Record in Web of Science")</f>
        <v>View Full Record in Web of Science</v>
      </c>
    </row>
    <row r="500" spans="1:72" x14ac:dyDescent="0.15">
      <c r="A500" t="s">
        <v>72</v>
      </c>
      <c r="B500" t="s">
        <v>7511</v>
      </c>
      <c r="C500" t="s">
        <v>74</v>
      </c>
      <c r="D500" t="s">
        <v>74</v>
      </c>
      <c r="E500" t="s">
        <v>74</v>
      </c>
      <c r="F500" t="s">
        <v>7511</v>
      </c>
      <c r="G500" t="s">
        <v>74</v>
      </c>
      <c r="H500" t="s">
        <v>74</v>
      </c>
      <c r="I500" t="s">
        <v>7512</v>
      </c>
      <c r="J500" t="s">
        <v>2947</v>
      </c>
      <c r="K500" t="s">
        <v>74</v>
      </c>
      <c r="L500" t="s">
        <v>74</v>
      </c>
      <c r="M500" t="s">
        <v>77</v>
      </c>
      <c r="N500" t="s">
        <v>78</v>
      </c>
      <c r="O500" t="s">
        <v>74</v>
      </c>
      <c r="P500" t="s">
        <v>74</v>
      </c>
      <c r="Q500" t="s">
        <v>74</v>
      </c>
      <c r="R500" t="s">
        <v>74</v>
      </c>
      <c r="S500" t="s">
        <v>74</v>
      </c>
      <c r="T500" t="s">
        <v>74</v>
      </c>
      <c r="U500" t="s">
        <v>7513</v>
      </c>
      <c r="V500" t="s">
        <v>7514</v>
      </c>
      <c r="W500" t="s">
        <v>7515</v>
      </c>
      <c r="X500" t="s">
        <v>7516</v>
      </c>
      <c r="Y500" t="s">
        <v>7517</v>
      </c>
      <c r="Z500" t="s">
        <v>7518</v>
      </c>
      <c r="AA500" t="s">
        <v>74</v>
      </c>
      <c r="AB500" t="s">
        <v>74</v>
      </c>
      <c r="AC500" t="s">
        <v>74</v>
      </c>
      <c r="AD500" t="s">
        <v>74</v>
      </c>
      <c r="AE500" t="s">
        <v>74</v>
      </c>
      <c r="AF500" t="s">
        <v>74</v>
      </c>
      <c r="AG500">
        <v>45</v>
      </c>
      <c r="AH500">
        <v>20</v>
      </c>
      <c r="AI500">
        <v>27</v>
      </c>
      <c r="AJ500">
        <v>0</v>
      </c>
      <c r="AK500">
        <v>23</v>
      </c>
      <c r="AL500" t="s">
        <v>2955</v>
      </c>
      <c r="AM500" t="s">
        <v>1630</v>
      </c>
      <c r="AN500" t="s">
        <v>2956</v>
      </c>
      <c r="AO500" t="s">
        <v>2957</v>
      </c>
      <c r="AP500" t="s">
        <v>2958</v>
      </c>
      <c r="AQ500" t="s">
        <v>74</v>
      </c>
      <c r="AR500" t="s">
        <v>2959</v>
      </c>
      <c r="AS500" t="s">
        <v>2960</v>
      </c>
      <c r="AT500" t="s">
        <v>7383</v>
      </c>
      <c r="AU500">
        <v>2005</v>
      </c>
      <c r="AV500">
        <v>37</v>
      </c>
      <c r="AW500">
        <v>1</v>
      </c>
      <c r="AX500" t="s">
        <v>74</v>
      </c>
      <c r="AY500" t="s">
        <v>74</v>
      </c>
      <c r="AZ500" t="s">
        <v>74</v>
      </c>
      <c r="BA500" t="s">
        <v>74</v>
      </c>
      <c r="BB500">
        <v>49</v>
      </c>
      <c r="BC500">
        <v>60</v>
      </c>
      <c r="BD500" t="s">
        <v>74</v>
      </c>
      <c r="BE500" t="s">
        <v>7519</v>
      </c>
      <c r="BF500" t="str">
        <f>HYPERLINK("http://dx.doi.org/10.1657/1523-0430(2005)037[0049:PDAAVI]2.0.CO;2","http://dx.doi.org/10.1657/1523-0430(2005)037[0049:PDAAVI]2.0.CO;2")</f>
        <v>http://dx.doi.org/10.1657/1523-0430(2005)037[0049:PDAAVI]2.0.CO;2</v>
      </c>
      <c r="BG500" t="s">
        <v>74</v>
      </c>
      <c r="BH500" t="s">
        <v>74</v>
      </c>
      <c r="BI500">
        <v>12</v>
      </c>
      <c r="BJ500" t="s">
        <v>2962</v>
      </c>
      <c r="BK500" t="s">
        <v>95</v>
      </c>
      <c r="BL500" t="s">
        <v>2963</v>
      </c>
      <c r="BM500" t="s">
        <v>7455</v>
      </c>
      <c r="BN500" t="s">
        <v>74</v>
      </c>
      <c r="BO500" t="s">
        <v>143</v>
      </c>
      <c r="BP500" t="s">
        <v>74</v>
      </c>
      <c r="BQ500" t="s">
        <v>74</v>
      </c>
      <c r="BR500" t="s">
        <v>97</v>
      </c>
      <c r="BS500" t="s">
        <v>7520</v>
      </c>
      <c r="BT500" t="str">
        <f>HYPERLINK("https%3A%2F%2Fwww.webofscience.com%2Fwos%2Fwoscc%2Ffull-record%2FWOS:000229051500007","View Full Record in Web of Science")</f>
        <v>View Full Record in Web of Science</v>
      </c>
    </row>
    <row r="501" spans="1:72" x14ac:dyDescent="0.15">
      <c r="A501" t="s">
        <v>72</v>
      </c>
      <c r="B501" t="s">
        <v>7521</v>
      </c>
      <c r="C501" t="s">
        <v>74</v>
      </c>
      <c r="D501" t="s">
        <v>74</v>
      </c>
      <c r="E501" t="s">
        <v>74</v>
      </c>
      <c r="F501" t="s">
        <v>7521</v>
      </c>
      <c r="G501" t="s">
        <v>74</v>
      </c>
      <c r="H501" t="s">
        <v>74</v>
      </c>
      <c r="I501" t="s">
        <v>7522</v>
      </c>
      <c r="J501" t="s">
        <v>2947</v>
      </c>
      <c r="K501" t="s">
        <v>74</v>
      </c>
      <c r="L501" t="s">
        <v>74</v>
      </c>
      <c r="M501" t="s">
        <v>77</v>
      </c>
      <c r="N501" t="s">
        <v>78</v>
      </c>
      <c r="O501" t="s">
        <v>74</v>
      </c>
      <c r="P501" t="s">
        <v>74</v>
      </c>
      <c r="Q501" t="s">
        <v>74</v>
      </c>
      <c r="R501" t="s">
        <v>74</v>
      </c>
      <c r="S501" t="s">
        <v>74</v>
      </c>
      <c r="T501" t="s">
        <v>74</v>
      </c>
      <c r="U501" t="s">
        <v>7523</v>
      </c>
      <c r="V501" t="s">
        <v>7524</v>
      </c>
      <c r="W501" t="s">
        <v>7525</v>
      </c>
      <c r="X501" t="s">
        <v>7526</v>
      </c>
      <c r="Y501" t="s">
        <v>7527</v>
      </c>
      <c r="Z501" t="s">
        <v>7528</v>
      </c>
      <c r="AA501" t="s">
        <v>7529</v>
      </c>
      <c r="AB501" t="s">
        <v>7530</v>
      </c>
      <c r="AC501" t="s">
        <v>74</v>
      </c>
      <c r="AD501" t="s">
        <v>74</v>
      </c>
      <c r="AE501" t="s">
        <v>74</v>
      </c>
      <c r="AF501" t="s">
        <v>74</v>
      </c>
      <c r="AG501">
        <v>30</v>
      </c>
      <c r="AH501">
        <v>14</v>
      </c>
      <c r="AI501">
        <v>15</v>
      </c>
      <c r="AJ501">
        <v>1</v>
      </c>
      <c r="AK501">
        <v>15</v>
      </c>
      <c r="AL501" t="s">
        <v>394</v>
      </c>
      <c r="AM501" t="s">
        <v>395</v>
      </c>
      <c r="AN501" t="s">
        <v>396</v>
      </c>
      <c r="AO501" t="s">
        <v>2957</v>
      </c>
      <c r="AP501" t="s">
        <v>2958</v>
      </c>
      <c r="AQ501" t="s">
        <v>74</v>
      </c>
      <c r="AR501" t="s">
        <v>2959</v>
      </c>
      <c r="AS501" t="s">
        <v>2960</v>
      </c>
      <c r="AT501" t="s">
        <v>7383</v>
      </c>
      <c r="AU501">
        <v>2005</v>
      </c>
      <c r="AV501">
        <v>37</v>
      </c>
      <c r="AW501">
        <v>1</v>
      </c>
      <c r="AX501" t="s">
        <v>74</v>
      </c>
      <c r="AY501" t="s">
        <v>74</v>
      </c>
      <c r="AZ501" t="s">
        <v>74</v>
      </c>
      <c r="BA501" t="s">
        <v>74</v>
      </c>
      <c r="BB501">
        <v>61</v>
      </c>
      <c r="BC501">
        <v>67</v>
      </c>
      <c r="BD501" t="s">
        <v>74</v>
      </c>
      <c r="BE501" t="s">
        <v>7531</v>
      </c>
      <c r="BF501" t="str">
        <f>HYPERLINK("http://dx.doi.org/10.1657/1523-0430(2005)037[0061:DISREA]2.0.CO;2","http://dx.doi.org/10.1657/1523-0430(2005)037[0061:DISREA]2.0.CO;2")</f>
        <v>http://dx.doi.org/10.1657/1523-0430(2005)037[0061:DISREA]2.0.CO;2</v>
      </c>
      <c r="BG501" t="s">
        <v>74</v>
      </c>
      <c r="BH501" t="s">
        <v>74</v>
      </c>
      <c r="BI501">
        <v>7</v>
      </c>
      <c r="BJ501" t="s">
        <v>2962</v>
      </c>
      <c r="BK501" t="s">
        <v>95</v>
      </c>
      <c r="BL501" t="s">
        <v>2963</v>
      </c>
      <c r="BM501" t="s">
        <v>7455</v>
      </c>
      <c r="BN501" t="s">
        <v>74</v>
      </c>
      <c r="BO501" t="s">
        <v>74</v>
      </c>
      <c r="BP501" t="s">
        <v>74</v>
      </c>
      <c r="BQ501" t="s">
        <v>74</v>
      </c>
      <c r="BR501" t="s">
        <v>97</v>
      </c>
      <c r="BS501" t="s">
        <v>7532</v>
      </c>
      <c r="BT501" t="str">
        <f>HYPERLINK("https%3A%2F%2Fwww.webofscience.com%2Fwos%2Fwoscc%2Ffull-record%2FWOS:000229051500008","View Full Record in Web of Science")</f>
        <v>View Full Record in Web of Science</v>
      </c>
    </row>
    <row r="502" spans="1:72" x14ac:dyDescent="0.15">
      <c r="A502" t="s">
        <v>72</v>
      </c>
      <c r="B502" t="s">
        <v>7533</v>
      </c>
      <c r="C502" t="s">
        <v>74</v>
      </c>
      <c r="D502" t="s">
        <v>74</v>
      </c>
      <c r="E502" t="s">
        <v>74</v>
      </c>
      <c r="F502" t="s">
        <v>7533</v>
      </c>
      <c r="G502" t="s">
        <v>74</v>
      </c>
      <c r="H502" t="s">
        <v>74</v>
      </c>
      <c r="I502" t="s">
        <v>7534</v>
      </c>
      <c r="J502" t="s">
        <v>2947</v>
      </c>
      <c r="K502" t="s">
        <v>74</v>
      </c>
      <c r="L502" t="s">
        <v>74</v>
      </c>
      <c r="M502" t="s">
        <v>77</v>
      </c>
      <c r="N502" t="s">
        <v>78</v>
      </c>
      <c r="O502" t="s">
        <v>74</v>
      </c>
      <c r="P502" t="s">
        <v>74</v>
      </c>
      <c r="Q502" t="s">
        <v>74</v>
      </c>
      <c r="R502" t="s">
        <v>74</v>
      </c>
      <c r="S502" t="s">
        <v>74</v>
      </c>
      <c r="T502" t="s">
        <v>74</v>
      </c>
      <c r="U502" t="s">
        <v>7535</v>
      </c>
      <c r="V502" t="s">
        <v>7536</v>
      </c>
      <c r="W502" t="s">
        <v>7537</v>
      </c>
      <c r="X502" t="s">
        <v>7538</v>
      </c>
      <c r="Y502" t="s">
        <v>7539</v>
      </c>
      <c r="Z502" t="s">
        <v>7540</v>
      </c>
      <c r="AA502" t="s">
        <v>7541</v>
      </c>
      <c r="AB502" t="s">
        <v>74</v>
      </c>
      <c r="AC502" t="s">
        <v>74</v>
      </c>
      <c r="AD502" t="s">
        <v>74</v>
      </c>
      <c r="AE502" t="s">
        <v>74</v>
      </c>
      <c r="AF502" t="s">
        <v>74</v>
      </c>
      <c r="AG502">
        <v>36</v>
      </c>
      <c r="AH502">
        <v>2</v>
      </c>
      <c r="AI502">
        <v>3</v>
      </c>
      <c r="AJ502">
        <v>1</v>
      </c>
      <c r="AK502">
        <v>4</v>
      </c>
      <c r="AL502" t="s">
        <v>2955</v>
      </c>
      <c r="AM502" t="s">
        <v>1630</v>
      </c>
      <c r="AN502" t="s">
        <v>2956</v>
      </c>
      <c r="AO502" t="s">
        <v>2957</v>
      </c>
      <c r="AP502" t="s">
        <v>74</v>
      </c>
      <c r="AQ502" t="s">
        <v>74</v>
      </c>
      <c r="AR502" t="s">
        <v>2959</v>
      </c>
      <c r="AS502" t="s">
        <v>2960</v>
      </c>
      <c r="AT502" t="s">
        <v>7383</v>
      </c>
      <c r="AU502">
        <v>2005</v>
      </c>
      <c r="AV502">
        <v>37</v>
      </c>
      <c r="AW502">
        <v>1</v>
      </c>
      <c r="AX502" t="s">
        <v>74</v>
      </c>
      <c r="AY502" t="s">
        <v>74</v>
      </c>
      <c r="AZ502" t="s">
        <v>74</v>
      </c>
      <c r="BA502" t="s">
        <v>74</v>
      </c>
      <c r="BB502">
        <v>68</v>
      </c>
      <c r="BC502">
        <v>74</v>
      </c>
      <c r="BD502" t="s">
        <v>74</v>
      </c>
      <c r="BE502" t="s">
        <v>7542</v>
      </c>
      <c r="BF502" t="str">
        <f>HYPERLINK("http://dx.doi.org/10.1657/1523-0430(2005)037[0068:LSDTMA]2.0.CO;2","http://dx.doi.org/10.1657/1523-0430(2005)037[0068:LSDTMA]2.0.CO;2")</f>
        <v>http://dx.doi.org/10.1657/1523-0430(2005)037[0068:LSDTMA]2.0.CO;2</v>
      </c>
      <c r="BG502" t="s">
        <v>74</v>
      </c>
      <c r="BH502" t="s">
        <v>74</v>
      </c>
      <c r="BI502">
        <v>7</v>
      </c>
      <c r="BJ502" t="s">
        <v>2962</v>
      </c>
      <c r="BK502" t="s">
        <v>95</v>
      </c>
      <c r="BL502" t="s">
        <v>2963</v>
      </c>
      <c r="BM502" t="s">
        <v>7455</v>
      </c>
      <c r="BN502" t="s">
        <v>74</v>
      </c>
      <c r="BO502" t="s">
        <v>143</v>
      </c>
      <c r="BP502" t="s">
        <v>74</v>
      </c>
      <c r="BQ502" t="s">
        <v>74</v>
      </c>
      <c r="BR502" t="s">
        <v>97</v>
      </c>
      <c r="BS502" t="s">
        <v>7543</v>
      </c>
      <c r="BT502" t="str">
        <f>HYPERLINK("https%3A%2F%2Fwww.webofscience.com%2Fwos%2Fwoscc%2Ffull-record%2FWOS:000229051500009","View Full Record in Web of Science")</f>
        <v>View Full Record in Web of Science</v>
      </c>
    </row>
    <row r="503" spans="1:72" x14ac:dyDescent="0.15">
      <c r="A503" t="s">
        <v>72</v>
      </c>
      <c r="B503" t="s">
        <v>7544</v>
      </c>
      <c r="C503" t="s">
        <v>74</v>
      </c>
      <c r="D503" t="s">
        <v>74</v>
      </c>
      <c r="E503" t="s">
        <v>74</v>
      </c>
      <c r="F503" t="s">
        <v>7544</v>
      </c>
      <c r="G503" t="s">
        <v>74</v>
      </c>
      <c r="H503" t="s">
        <v>74</v>
      </c>
      <c r="I503" t="s">
        <v>7545</v>
      </c>
      <c r="J503" t="s">
        <v>2947</v>
      </c>
      <c r="K503" t="s">
        <v>74</v>
      </c>
      <c r="L503" t="s">
        <v>74</v>
      </c>
      <c r="M503" t="s">
        <v>77</v>
      </c>
      <c r="N503" t="s">
        <v>78</v>
      </c>
      <c r="O503" t="s">
        <v>74</v>
      </c>
      <c r="P503" t="s">
        <v>74</v>
      </c>
      <c r="Q503" t="s">
        <v>74</v>
      </c>
      <c r="R503" t="s">
        <v>74</v>
      </c>
      <c r="S503" t="s">
        <v>74</v>
      </c>
      <c r="T503" t="s">
        <v>74</v>
      </c>
      <c r="U503" t="s">
        <v>7546</v>
      </c>
      <c r="V503" t="s">
        <v>7547</v>
      </c>
      <c r="W503" t="s">
        <v>7548</v>
      </c>
      <c r="X503" t="s">
        <v>7549</v>
      </c>
      <c r="Y503" t="s">
        <v>7550</v>
      </c>
      <c r="Z503" t="s">
        <v>7551</v>
      </c>
      <c r="AA503" t="s">
        <v>7552</v>
      </c>
      <c r="AB503" t="s">
        <v>7553</v>
      </c>
      <c r="AC503" t="s">
        <v>74</v>
      </c>
      <c r="AD503" t="s">
        <v>74</v>
      </c>
      <c r="AE503" t="s">
        <v>74</v>
      </c>
      <c r="AF503" t="s">
        <v>74</v>
      </c>
      <c r="AG503">
        <v>58</v>
      </c>
      <c r="AH503">
        <v>28</v>
      </c>
      <c r="AI503">
        <v>28</v>
      </c>
      <c r="AJ503">
        <v>0</v>
      </c>
      <c r="AK503">
        <v>7</v>
      </c>
      <c r="AL503" t="s">
        <v>2955</v>
      </c>
      <c r="AM503" t="s">
        <v>1630</v>
      </c>
      <c r="AN503" t="s">
        <v>2956</v>
      </c>
      <c r="AO503" t="s">
        <v>2957</v>
      </c>
      <c r="AP503" t="s">
        <v>74</v>
      </c>
      <c r="AQ503" t="s">
        <v>74</v>
      </c>
      <c r="AR503" t="s">
        <v>2959</v>
      </c>
      <c r="AS503" t="s">
        <v>2960</v>
      </c>
      <c r="AT503" t="s">
        <v>7383</v>
      </c>
      <c r="AU503">
        <v>2005</v>
      </c>
      <c r="AV503">
        <v>37</v>
      </c>
      <c r="AW503">
        <v>1</v>
      </c>
      <c r="AX503" t="s">
        <v>74</v>
      </c>
      <c r="AY503" t="s">
        <v>74</v>
      </c>
      <c r="AZ503" t="s">
        <v>74</v>
      </c>
      <c r="BA503" t="s">
        <v>74</v>
      </c>
      <c r="BB503">
        <v>75</v>
      </c>
      <c r="BC503">
        <v>87</v>
      </c>
      <c r="BD503" t="s">
        <v>74</v>
      </c>
      <c r="BE503" t="s">
        <v>7554</v>
      </c>
      <c r="BF503" t="str">
        <f>HYPERLINK("http://dx.doi.org/10.1657/1523-0430(2005)037[0075:ROCAMF]2.0.CO;2","http://dx.doi.org/10.1657/1523-0430(2005)037[0075:ROCAMF]2.0.CO;2")</f>
        <v>http://dx.doi.org/10.1657/1523-0430(2005)037[0075:ROCAMF]2.0.CO;2</v>
      </c>
      <c r="BG503" t="s">
        <v>74</v>
      </c>
      <c r="BH503" t="s">
        <v>74</v>
      </c>
      <c r="BI503">
        <v>13</v>
      </c>
      <c r="BJ503" t="s">
        <v>2962</v>
      </c>
      <c r="BK503" t="s">
        <v>95</v>
      </c>
      <c r="BL503" t="s">
        <v>2963</v>
      </c>
      <c r="BM503" t="s">
        <v>7455</v>
      </c>
      <c r="BN503" t="s">
        <v>74</v>
      </c>
      <c r="BO503" t="s">
        <v>750</v>
      </c>
      <c r="BP503" t="s">
        <v>74</v>
      </c>
      <c r="BQ503" t="s">
        <v>74</v>
      </c>
      <c r="BR503" t="s">
        <v>97</v>
      </c>
      <c r="BS503" t="s">
        <v>7555</v>
      </c>
      <c r="BT503" t="str">
        <f>HYPERLINK("https%3A%2F%2Fwww.webofscience.com%2Fwos%2Fwoscc%2Ffull-record%2FWOS:000229051500010","View Full Record in Web of Science")</f>
        <v>View Full Record in Web of Science</v>
      </c>
    </row>
    <row r="504" spans="1:72" x14ac:dyDescent="0.15">
      <c r="A504" t="s">
        <v>72</v>
      </c>
      <c r="B504" t="s">
        <v>7556</v>
      </c>
      <c r="C504" t="s">
        <v>74</v>
      </c>
      <c r="D504" t="s">
        <v>74</v>
      </c>
      <c r="E504" t="s">
        <v>74</v>
      </c>
      <c r="F504" t="s">
        <v>7556</v>
      </c>
      <c r="G504" t="s">
        <v>74</v>
      </c>
      <c r="H504" t="s">
        <v>74</v>
      </c>
      <c r="I504" t="s">
        <v>7557</v>
      </c>
      <c r="J504" t="s">
        <v>2947</v>
      </c>
      <c r="K504" t="s">
        <v>74</v>
      </c>
      <c r="L504" t="s">
        <v>74</v>
      </c>
      <c r="M504" t="s">
        <v>77</v>
      </c>
      <c r="N504" t="s">
        <v>78</v>
      </c>
      <c r="O504" t="s">
        <v>74</v>
      </c>
      <c r="P504" t="s">
        <v>74</v>
      </c>
      <c r="Q504" t="s">
        <v>74</v>
      </c>
      <c r="R504" t="s">
        <v>74</v>
      </c>
      <c r="S504" t="s">
        <v>74</v>
      </c>
      <c r="T504" t="s">
        <v>74</v>
      </c>
      <c r="U504" t="s">
        <v>7558</v>
      </c>
      <c r="V504" t="s">
        <v>7559</v>
      </c>
      <c r="W504" t="s">
        <v>7560</v>
      </c>
      <c r="X504" t="s">
        <v>7561</v>
      </c>
      <c r="Y504" t="s">
        <v>7562</v>
      </c>
      <c r="Z504" t="s">
        <v>7563</v>
      </c>
      <c r="AA504" t="s">
        <v>74</v>
      </c>
      <c r="AB504" t="s">
        <v>74</v>
      </c>
      <c r="AC504" t="s">
        <v>74</v>
      </c>
      <c r="AD504" t="s">
        <v>74</v>
      </c>
      <c r="AE504" t="s">
        <v>74</v>
      </c>
      <c r="AF504" t="s">
        <v>74</v>
      </c>
      <c r="AG504">
        <v>37</v>
      </c>
      <c r="AH504">
        <v>4</v>
      </c>
      <c r="AI504">
        <v>7</v>
      </c>
      <c r="AJ504">
        <v>0</v>
      </c>
      <c r="AK504">
        <v>36</v>
      </c>
      <c r="AL504" t="s">
        <v>2955</v>
      </c>
      <c r="AM504" t="s">
        <v>1630</v>
      </c>
      <c r="AN504" t="s">
        <v>2956</v>
      </c>
      <c r="AO504" t="s">
        <v>2957</v>
      </c>
      <c r="AP504" t="s">
        <v>2958</v>
      </c>
      <c r="AQ504" t="s">
        <v>74</v>
      </c>
      <c r="AR504" t="s">
        <v>2959</v>
      </c>
      <c r="AS504" t="s">
        <v>2960</v>
      </c>
      <c r="AT504" t="s">
        <v>7383</v>
      </c>
      <c r="AU504">
        <v>2005</v>
      </c>
      <c r="AV504">
        <v>37</v>
      </c>
      <c r="AW504">
        <v>1</v>
      </c>
      <c r="AX504" t="s">
        <v>74</v>
      </c>
      <c r="AY504" t="s">
        <v>74</v>
      </c>
      <c r="AZ504" t="s">
        <v>74</v>
      </c>
      <c r="BA504" t="s">
        <v>74</v>
      </c>
      <c r="BB504">
        <v>88</v>
      </c>
      <c r="BC504">
        <v>96</v>
      </c>
      <c r="BD504" t="s">
        <v>74</v>
      </c>
      <c r="BE504" t="s">
        <v>7564</v>
      </c>
      <c r="BF504" t="str">
        <f>HYPERLINK("http://dx.doi.org/10.1657/1523-0430(2005)037[0088:FDASDO]2.0.CO;2","http://dx.doi.org/10.1657/1523-0430(2005)037[0088:FDASDO]2.0.CO;2")</f>
        <v>http://dx.doi.org/10.1657/1523-0430(2005)037[0088:FDASDO]2.0.CO;2</v>
      </c>
      <c r="BG504" t="s">
        <v>74</v>
      </c>
      <c r="BH504" t="s">
        <v>74</v>
      </c>
      <c r="BI504">
        <v>9</v>
      </c>
      <c r="BJ504" t="s">
        <v>2962</v>
      </c>
      <c r="BK504" t="s">
        <v>95</v>
      </c>
      <c r="BL504" t="s">
        <v>2963</v>
      </c>
      <c r="BM504" t="s">
        <v>7455</v>
      </c>
      <c r="BN504" t="s">
        <v>74</v>
      </c>
      <c r="BO504" t="s">
        <v>855</v>
      </c>
      <c r="BP504" t="s">
        <v>74</v>
      </c>
      <c r="BQ504" t="s">
        <v>74</v>
      </c>
      <c r="BR504" t="s">
        <v>97</v>
      </c>
      <c r="BS504" t="s">
        <v>7565</v>
      </c>
      <c r="BT504" t="str">
        <f>HYPERLINK("https%3A%2F%2Fwww.webofscience.com%2Fwos%2Fwoscc%2Ffull-record%2FWOS:000229051500011","View Full Record in Web of Science")</f>
        <v>View Full Record in Web of Science</v>
      </c>
    </row>
    <row r="505" spans="1:72" x14ac:dyDescent="0.15">
      <c r="A505" t="s">
        <v>72</v>
      </c>
      <c r="B505" t="s">
        <v>7566</v>
      </c>
      <c r="C505" t="s">
        <v>74</v>
      </c>
      <c r="D505" t="s">
        <v>74</v>
      </c>
      <c r="E505" t="s">
        <v>74</v>
      </c>
      <c r="F505" t="s">
        <v>7566</v>
      </c>
      <c r="G505" t="s">
        <v>74</v>
      </c>
      <c r="H505" t="s">
        <v>74</v>
      </c>
      <c r="I505" t="s">
        <v>7567</v>
      </c>
      <c r="J505" t="s">
        <v>2947</v>
      </c>
      <c r="K505" t="s">
        <v>74</v>
      </c>
      <c r="L505" t="s">
        <v>74</v>
      </c>
      <c r="M505" t="s">
        <v>77</v>
      </c>
      <c r="N505" t="s">
        <v>78</v>
      </c>
      <c r="O505" t="s">
        <v>74</v>
      </c>
      <c r="P505" t="s">
        <v>74</v>
      </c>
      <c r="Q505" t="s">
        <v>74</v>
      </c>
      <c r="R505" t="s">
        <v>74</v>
      </c>
      <c r="S505" t="s">
        <v>74</v>
      </c>
      <c r="T505" t="s">
        <v>74</v>
      </c>
      <c r="U505" t="s">
        <v>7568</v>
      </c>
      <c r="V505" t="s">
        <v>7569</v>
      </c>
      <c r="W505" t="s">
        <v>7570</v>
      </c>
      <c r="X505" t="s">
        <v>7571</v>
      </c>
      <c r="Y505" t="s">
        <v>7572</v>
      </c>
      <c r="Z505" t="s">
        <v>7573</v>
      </c>
      <c r="AA505" t="s">
        <v>74</v>
      </c>
      <c r="AB505" t="s">
        <v>74</v>
      </c>
      <c r="AC505" t="s">
        <v>74</v>
      </c>
      <c r="AD505" t="s">
        <v>74</v>
      </c>
      <c r="AE505" t="s">
        <v>74</v>
      </c>
      <c r="AF505" t="s">
        <v>74</v>
      </c>
      <c r="AG505">
        <v>92</v>
      </c>
      <c r="AH505">
        <v>105</v>
      </c>
      <c r="AI505">
        <v>134</v>
      </c>
      <c r="AJ505">
        <v>0</v>
      </c>
      <c r="AK505">
        <v>44</v>
      </c>
      <c r="AL505" t="s">
        <v>394</v>
      </c>
      <c r="AM505" t="s">
        <v>395</v>
      </c>
      <c r="AN505" t="s">
        <v>396</v>
      </c>
      <c r="AO505" t="s">
        <v>2957</v>
      </c>
      <c r="AP505" t="s">
        <v>2958</v>
      </c>
      <c r="AQ505" t="s">
        <v>74</v>
      </c>
      <c r="AR505" t="s">
        <v>2959</v>
      </c>
      <c r="AS505" t="s">
        <v>2960</v>
      </c>
      <c r="AT505" t="s">
        <v>7383</v>
      </c>
      <c r="AU505">
        <v>2005</v>
      </c>
      <c r="AV505">
        <v>37</v>
      </c>
      <c r="AW505">
        <v>1</v>
      </c>
      <c r="AX505" t="s">
        <v>74</v>
      </c>
      <c r="AY505" t="s">
        <v>74</v>
      </c>
      <c r="AZ505" t="s">
        <v>74</v>
      </c>
      <c r="BA505" t="s">
        <v>74</v>
      </c>
      <c r="BB505">
        <v>97</v>
      </c>
      <c r="BC505">
        <v>107</v>
      </c>
      <c r="BD505" t="s">
        <v>74</v>
      </c>
      <c r="BE505" t="s">
        <v>7574</v>
      </c>
      <c r="BF505" t="str">
        <f>HYPERLINK("http://dx.doi.org/10.1657/1523-0430(2005)037[0097:PFBTEA]2.0.CO;2","http://dx.doi.org/10.1657/1523-0430(2005)037[0097:PFBTEA]2.0.CO;2")</f>
        <v>http://dx.doi.org/10.1657/1523-0430(2005)037[0097:PFBTEA]2.0.CO;2</v>
      </c>
      <c r="BG505" t="s">
        <v>74</v>
      </c>
      <c r="BH505" t="s">
        <v>74</v>
      </c>
      <c r="BI505">
        <v>11</v>
      </c>
      <c r="BJ505" t="s">
        <v>2962</v>
      </c>
      <c r="BK505" t="s">
        <v>95</v>
      </c>
      <c r="BL505" t="s">
        <v>2963</v>
      </c>
      <c r="BM505" t="s">
        <v>7455</v>
      </c>
      <c r="BN505" t="s">
        <v>74</v>
      </c>
      <c r="BO505" t="s">
        <v>143</v>
      </c>
      <c r="BP505" t="s">
        <v>74</v>
      </c>
      <c r="BQ505" t="s">
        <v>74</v>
      </c>
      <c r="BR505" t="s">
        <v>97</v>
      </c>
      <c r="BS505" t="s">
        <v>7575</v>
      </c>
      <c r="BT505" t="str">
        <f>HYPERLINK("https%3A%2F%2Fwww.webofscience.com%2Fwos%2Fwoscc%2Ffull-record%2FWOS:000229051500012","View Full Record in Web of Science")</f>
        <v>View Full Record in Web of Science</v>
      </c>
    </row>
    <row r="506" spans="1:72" x14ac:dyDescent="0.15">
      <c r="A506" t="s">
        <v>72</v>
      </c>
      <c r="B506" t="s">
        <v>7576</v>
      </c>
      <c r="C506" t="s">
        <v>74</v>
      </c>
      <c r="D506" t="s">
        <v>74</v>
      </c>
      <c r="E506" t="s">
        <v>74</v>
      </c>
      <c r="F506" t="s">
        <v>7576</v>
      </c>
      <c r="G506" t="s">
        <v>74</v>
      </c>
      <c r="H506" t="s">
        <v>74</v>
      </c>
      <c r="I506" t="s">
        <v>7577</v>
      </c>
      <c r="J506" t="s">
        <v>2947</v>
      </c>
      <c r="K506" t="s">
        <v>74</v>
      </c>
      <c r="L506" t="s">
        <v>74</v>
      </c>
      <c r="M506" t="s">
        <v>77</v>
      </c>
      <c r="N506" t="s">
        <v>78</v>
      </c>
      <c r="O506" t="s">
        <v>74</v>
      </c>
      <c r="P506" t="s">
        <v>74</v>
      </c>
      <c r="Q506" t="s">
        <v>74</v>
      </c>
      <c r="R506" t="s">
        <v>74</v>
      </c>
      <c r="S506" t="s">
        <v>74</v>
      </c>
      <c r="T506" t="s">
        <v>74</v>
      </c>
      <c r="U506" t="s">
        <v>7578</v>
      </c>
      <c r="V506" t="s">
        <v>7579</v>
      </c>
      <c r="W506" t="s">
        <v>7580</v>
      </c>
      <c r="X506" t="s">
        <v>7581</v>
      </c>
      <c r="Y506" t="s">
        <v>7582</v>
      </c>
      <c r="Z506" t="s">
        <v>7583</v>
      </c>
      <c r="AA506" t="s">
        <v>7584</v>
      </c>
      <c r="AB506" t="s">
        <v>7585</v>
      </c>
      <c r="AC506" t="s">
        <v>3325</v>
      </c>
      <c r="AD506" t="s">
        <v>3326</v>
      </c>
      <c r="AE506" t="s">
        <v>74</v>
      </c>
      <c r="AF506" t="s">
        <v>74</v>
      </c>
      <c r="AG506">
        <v>54</v>
      </c>
      <c r="AH506">
        <v>40</v>
      </c>
      <c r="AI506">
        <v>51</v>
      </c>
      <c r="AJ506">
        <v>3</v>
      </c>
      <c r="AK506">
        <v>19</v>
      </c>
      <c r="AL506" t="s">
        <v>394</v>
      </c>
      <c r="AM506" t="s">
        <v>395</v>
      </c>
      <c r="AN506" t="s">
        <v>396</v>
      </c>
      <c r="AO506" t="s">
        <v>2957</v>
      </c>
      <c r="AP506" t="s">
        <v>2958</v>
      </c>
      <c r="AQ506" t="s">
        <v>74</v>
      </c>
      <c r="AR506" t="s">
        <v>2959</v>
      </c>
      <c r="AS506" t="s">
        <v>2960</v>
      </c>
      <c r="AT506" t="s">
        <v>7383</v>
      </c>
      <c r="AU506">
        <v>2005</v>
      </c>
      <c r="AV506">
        <v>37</v>
      </c>
      <c r="AW506">
        <v>1</v>
      </c>
      <c r="AX506" t="s">
        <v>74</v>
      </c>
      <c r="AY506" t="s">
        <v>74</v>
      </c>
      <c r="AZ506" t="s">
        <v>74</v>
      </c>
      <c r="BA506" t="s">
        <v>74</v>
      </c>
      <c r="BB506">
        <v>108</v>
      </c>
      <c r="BC506">
        <v>117</v>
      </c>
      <c r="BD506" t="s">
        <v>74</v>
      </c>
      <c r="BE506" t="s">
        <v>7586</v>
      </c>
      <c r="BF506" t="str">
        <f>HYPERLINK("http://dx.doi.org/10.1657/1523-0430(2005)037[0108:PSOMTI]2.0.CO;2","http://dx.doi.org/10.1657/1523-0430(2005)037[0108:PSOMTI]2.0.CO;2")</f>
        <v>http://dx.doi.org/10.1657/1523-0430(2005)037[0108:PSOMTI]2.0.CO;2</v>
      </c>
      <c r="BG506" t="s">
        <v>74</v>
      </c>
      <c r="BH506" t="s">
        <v>74</v>
      </c>
      <c r="BI506">
        <v>10</v>
      </c>
      <c r="BJ506" t="s">
        <v>2962</v>
      </c>
      <c r="BK506" t="s">
        <v>95</v>
      </c>
      <c r="BL506" t="s">
        <v>2963</v>
      </c>
      <c r="BM506" t="s">
        <v>7455</v>
      </c>
      <c r="BN506" t="s">
        <v>74</v>
      </c>
      <c r="BO506" t="s">
        <v>143</v>
      </c>
      <c r="BP506" t="s">
        <v>74</v>
      </c>
      <c r="BQ506" t="s">
        <v>74</v>
      </c>
      <c r="BR506" t="s">
        <v>97</v>
      </c>
      <c r="BS506" t="s">
        <v>7587</v>
      </c>
      <c r="BT506" t="str">
        <f>HYPERLINK("https%3A%2F%2Fwww.webofscience.com%2Fwos%2Fwoscc%2Ffull-record%2FWOS:000229051500013","View Full Record in Web of Science")</f>
        <v>View Full Record in Web of Science</v>
      </c>
    </row>
    <row r="507" spans="1:72" x14ac:dyDescent="0.15">
      <c r="A507" t="s">
        <v>72</v>
      </c>
      <c r="B507" t="s">
        <v>7588</v>
      </c>
      <c r="C507" t="s">
        <v>74</v>
      </c>
      <c r="D507" t="s">
        <v>74</v>
      </c>
      <c r="E507" t="s">
        <v>74</v>
      </c>
      <c r="F507" t="s">
        <v>7588</v>
      </c>
      <c r="G507" t="s">
        <v>74</v>
      </c>
      <c r="H507" t="s">
        <v>74</v>
      </c>
      <c r="I507" t="s">
        <v>7589</v>
      </c>
      <c r="J507" t="s">
        <v>2947</v>
      </c>
      <c r="K507" t="s">
        <v>74</v>
      </c>
      <c r="L507" t="s">
        <v>74</v>
      </c>
      <c r="M507" t="s">
        <v>77</v>
      </c>
      <c r="N507" t="s">
        <v>78</v>
      </c>
      <c r="O507" t="s">
        <v>74</v>
      </c>
      <c r="P507" t="s">
        <v>74</v>
      </c>
      <c r="Q507" t="s">
        <v>74</v>
      </c>
      <c r="R507" t="s">
        <v>74</v>
      </c>
      <c r="S507" t="s">
        <v>74</v>
      </c>
      <c r="T507" t="s">
        <v>74</v>
      </c>
      <c r="U507" t="s">
        <v>7590</v>
      </c>
      <c r="V507" t="s">
        <v>7591</v>
      </c>
      <c r="W507" t="s">
        <v>7592</v>
      </c>
      <c r="X507" t="s">
        <v>7593</v>
      </c>
      <c r="Y507" t="s">
        <v>7594</v>
      </c>
      <c r="Z507" t="s">
        <v>7595</v>
      </c>
      <c r="AA507" t="s">
        <v>7596</v>
      </c>
      <c r="AB507" t="s">
        <v>7597</v>
      </c>
      <c r="AC507" t="s">
        <v>74</v>
      </c>
      <c r="AD507" t="s">
        <v>74</v>
      </c>
      <c r="AE507" t="s">
        <v>74</v>
      </c>
      <c r="AF507" t="s">
        <v>74</v>
      </c>
      <c r="AG507">
        <v>49</v>
      </c>
      <c r="AH507">
        <v>31</v>
      </c>
      <c r="AI507">
        <v>40</v>
      </c>
      <c r="AJ507">
        <v>0</v>
      </c>
      <c r="AK507">
        <v>40</v>
      </c>
      <c r="AL507" t="s">
        <v>394</v>
      </c>
      <c r="AM507" t="s">
        <v>395</v>
      </c>
      <c r="AN507" t="s">
        <v>396</v>
      </c>
      <c r="AO507" t="s">
        <v>2957</v>
      </c>
      <c r="AP507" t="s">
        <v>2958</v>
      </c>
      <c r="AQ507" t="s">
        <v>74</v>
      </c>
      <c r="AR507" t="s">
        <v>2959</v>
      </c>
      <c r="AS507" t="s">
        <v>2960</v>
      </c>
      <c r="AT507" t="s">
        <v>7383</v>
      </c>
      <c r="AU507">
        <v>2005</v>
      </c>
      <c r="AV507">
        <v>37</v>
      </c>
      <c r="AW507">
        <v>1</v>
      </c>
      <c r="AX507" t="s">
        <v>74</v>
      </c>
      <c r="AY507" t="s">
        <v>74</v>
      </c>
      <c r="AZ507" t="s">
        <v>74</v>
      </c>
      <c r="BA507" t="s">
        <v>74</v>
      </c>
      <c r="BB507">
        <v>118</v>
      </c>
      <c r="BC507">
        <v>126</v>
      </c>
      <c r="BD507" t="s">
        <v>74</v>
      </c>
      <c r="BE507" t="s">
        <v>7598</v>
      </c>
      <c r="BF507" t="str">
        <f>HYPERLINK("http://dx.doi.org/10.1657/1523-0430(2005)037[0118:TROSOM]2.0.CO;2","http://dx.doi.org/10.1657/1523-0430(2005)037[0118:TROSOM]2.0.CO;2")</f>
        <v>http://dx.doi.org/10.1657/1523-0430(2005)037[0118:TROSOM]2.0.CO;2</v>
      </c>
      <c r="BG507" t="s">
        <v>74</v>
      </c>
      <c r="BH507" t="s">
        <v>74</v>
      </c>
      <c r="BI507">
        <v>9</v>
      </c>
      <c r="BJ507" t="s">
        <v>2962</v>
      </c>
      <c r="BK507" t="s">
        <v>95</v>
      </c>
      <c r="BL507" t="s">
        <v>2963</v>
      </c>
      <c r="BM507" t="s">
        <v>7455</v>
      </c>
      <c r="BN507" t="s">
        <v>74</v>
      </c>
      <c r="BO507" t="s">
        <v>143</v>
      </c>
      <c r="BP507" t="s">
        <v>74</v>
      </c>
      <c r="BQ507" t="s">
        <v>74</v>
      </c>
      <c r="BR507" t="s">
        <v>97</v>
      </c>
      <c r="BS507" t="s">
        <v>7599</v>
      </c>
      <c r="BT507" t="str">
        <f>HYPERLINK("https%3A%2F%2Fwww.webofscience.com%2Fwos%2Fwoscc%2Ffull-record%2FWOS:000229051500014","View Full Record in Web of Science")</f>
        <v>View Full Record in Web of Science</v>
      </c>
    </row>
    <row r="508" spans="1:72" x14ac:dyDescent="0.15">
      <c r="A508" t="s">
        <v>72</v>
      </c>
      <c r="B508" t="s">
        <v>7600</v>
      </c>
      <c r="C508" t="s">
        <v>74</v>
      </c>
      <c r="D508" t="s">
        <v>74</v>
      </c>
      <c r="E508" t="s">
        <v>74</v>
      </c>
      <c r="F508" t="s">
        <v>7600</v>
      </c>
      <c r="G508" t="s">
        <v>74</v>
      </c>
      <c r="H508" t="s">
        <v>74</v>
      </c>
      <c r="I508" t="s">
        <v>7601</v>
      </c>
      <c r="J508" t="s">
        <v>2947</v>
      </c>
      <c r="K508" t="s">
        <v>74</v>
      </c>
      <c r="L508" t="s">
        <v>74</v>
      </c>
      <c r="M508" t="s">
        <v>77</v>
      </c>
      <c r="N508" t="s">
        <v>78</v>
      </c>
      <c r="O508" t="s">
        <v>74</v>
      </c>
      <c r="P508" t="s">
        <v>74</v>
      </c>
      <c r="Q508" t="s">
        <v>74</v>
      </c>
      <c r="R508" t="s">
        <v>74</v>
      </c>
      <c r="S508" t="s">
        <v>74</v>
      </c>
      <c r="T508" t="s">
        <v>74</v>
      </c>
      <c r="U508" t="s">
        <v>7602</v>
      </c>
      <c r="V508" t="s">
        <v>7603</v>
      </c>
      <c r="W508" t="s">
        <v>7604</v>
      </c>
      <c r="X508" t="s">
        <v>7605</v>
      </c>
      <c r="Y508" t="s">
        <v>7606</v>
      </c>
      <c r="Z508" t="s">
        <v>7607</v>
      </c>
      <c r="AA508" t="s">
        <v>7608</v>
      </c>
      <c r="AB508" t="s">
        <v>7609</v>
      </c>
      <c r="AC508" t="s">
        <v>74</v>
      </c>
      <c r="AD508" t="s">
        <v>74</v>
      </c>
      <c r="AE508" t="s">
        <v>74</v>
      </c>
      <c r="AF508" t="s">
        <v>74</v>
      </c>
      <c r="AG508">
        <v>17</v>
      </c>
      <c r="AH508">
        <v>17</v>
      </c>
      <c r="AI508">
        <v>25</v>
      </c>
      <c r="AJ508">
        <v>1</v>
      </c>
      <c r="AK508">
        <v>6</v>
      </c>
      <c r="AL508" t="s">
        <v>394</v>
      </c>
      <c r="AM508" t="s">
        <v>395</v>
      </c>
      <c r="AN508" t="s">
        <v>396</v>
      </c>
      <c r="AO508" t="s">
        <v>2957</v>
      </c>
      <c r="AP508" t="s">
        <v>2958</v>
      </c>
      <c r="AQ508" t="s">
        <v>74</v>
      </c>
      <c r="AR508" t="s">
        <v>2959</v>
      </c>
      <c r="AS508" t="s">
        <v>2960</v>
      </c>
      <c r="AT508" t="s">
        <v>7383</v>
      </c>
      <c r="AU508">
        <v>2005</v>
      </c>
      <c r="AV508">
        <v>37</v>
      </c>
      <c r="AW508">
        <v>1</v>
      </c>
      <c r="AX508" t="s">
        <v>74</v>
      </c>
      <c r="AY508" t="s">
        <v>74</v>
      </c>
      <c r="AZ508" t="s">
        <v>74</v>
      </c>
      <c r="BA508" t="s">
        <v>74</v>
      </c>
      <c r="BB508">
        <v>127</v>
      </c>
      <c r="BC508">
        <v>135</v>
      </c>
      <c r="BD508" t="s">
        <v>74</v>
      </c>
      <c r="BE508" t="s">
        <v>7610</v>
      </c>
      <c r="BF508" t="str">
        <f>HYPERLINK("http://dx.doi.org/10.1657/1523-0430(2005)037[0127:ADCOAI]2.0.CO;2","http://dx.doi.org/10.1657/1523-0430(2005)037[0127:ADCOAI]2.0.CO;2")</f>
        <v>http://dx.doi.org/10.1657/1523-0430(2005)037[0127:ADCOAI]2.0.CO;2</v>
      </c>
      <c r="BG508" t="s">
        <v>74</v>
      </c>
      <c r="BH508" t="s">
        <v>74</v>
      </c>
      <c r="BI508">
        <v>9</v>
      </c>
      <c r="BJ508" t="s">
        <v>2962</v>
      </c>
      <c r="BK508" t="s">
        <v>95</v>
      </c>
      <c r="BL508" t="s">
        <v>2963</v>
      </c>
      <c r="BM508" t="s">
        <v>7455</v>
      </c>
      <c r="BN508" t="s">
        <v>74</v>
      </c>
      <c r="BO508" t="s">
        <v>855</v>
      </c>
      <c r="BP508" t="s">
        <v>74</v>
      </c>
      <c r="BQ508" t="s">
        <v>74</v>
      </c>
      <c r="BR508" t="s">
        <v>97</v>
      </c>
      <c r="BS508" t="s">
        <v>7611</v>
      </c>
      <c r="BT508" t="str">
        <f>HYPERLINK("https%3A%2F%2Fwww.webofscience.com%2Fwos%2Fwoscc%2Ffull-record%2FWOS:000229051500015","View Full Record in Web of Science")</f>
        <v>View Full Record in Web of Science</v>
      </c>
    </row>
    <row r="509" spans="1:72" x14ac:dyDescent="0.15">
      <c r="A509" t="s">
        <v>72</v>
      </c>
      <c r="B509" t="s">
        <v>7612</v>
      </c>
      <c r="C509" t="s">
        <v>74</v>
      </c>
      <c r="D509" t="s">
        <v>74</v>
      </c>
      <c r="E509" t="s">
        <v>74</v>
      </c>
      <c r="F509" t="s">
        <v>7612</v>
      </c>
      <c r="G509" t="s">
        <v>74</v>
      </c>
      <c r="H509" t="s">
        <v>74</v>
      </c>
      <c r="I509" t="s">
        <v>7613</v>
      </c>
      <c r="J509" t="s">
        <v>5855</v>
      </c>
      <c r="K509" t="s">
        <v>74</v>
      </c>
      <c r="L509" t="s">
        <v>74</v>
      </c>
      <c r="M509" t="s">
        <v>77</v>
      </c>
      <c r="N509" t="s">
        <v>78</v>
      </c>
      <c r="O509" t="s">
        <v>74</v>
      </c>
      <c r="P509" t="s">
        <v>74</v>
      </c>
      <c r="Q509" t="s">
        <v>74</v>
      </c>
      <c r="R509" t="s">
        <v>74</v>
      </c>
      <c r="S509" t="s">
        <v>74</v>
      </c>
      <c r="T509" t="s">
        <v>7614</v>
      </c>
      <c r="U509" t="s">
        <v>7615</v>
      </c>
      <c r="V509" t="s">
        <v>7616</v>
      </c>
      <c r="W509" t="s">
        <v>7617</v>
      </c>
      <c r="X509" t="s">
        <v>7618</v>
      </c>
      <c r="Y509" t="s">
        <v>7619</v>
      </c>
      <c r="Z509" t="s">
        <v>7620</v>
      </c>
      <c r="AA509" t="s">
        <v>74</v>
      </c>
      <c r="AB509" t="s">
        <v>7621</v>
      </c>
      <c r="AC509" t="s">
        <v>74</v>
      </c>
      <c r="AD509" t="s">
        <v>74</v>
      </c>
      <c r="AE509" t="s">
        <v>74</v>
      </c>
      <c r="AF509" t="s">
        <v>74</v>
      </c>
      <c r="AG509">
        <v>17</v>
      </c>
      <c r="AH509">
        <v>90</v>
      </c>
      <c r="AI509">
        <v>101</v>
      </c>
      <c r="AJ509">
        <v>1</v>
      </c>
      <c r="AK509">
        <v>11</v>
      </c>
      <c r="AL509" t="s">
        <v>5863</v>
      </c>
      <c r="AM509" t="s">
        <v>5864</v>
      </c>
      <c r="AN509" t="s">
        <v>5865</v>
      </c>
      <c r="AO509" t="s">
        <v>5866</v>
      </c>
      <c r="AP509" t="s">
        <v>74</v>
      </c>
      <c r="AQ509" t="s">
        <v>74</v>
      </c>
      <c r="AR509" t="s">
        <v>5867</v>
      </c>
      <c r="AS509" t="s">
        <v>5868</v>
      </c>
      <c r="AT509" t="s">
        <v>7383</v>
      </c>
      <c r="AU509">
        <v>2005</v>
      </c>
      <c r="AV509">
        <v>430</v>
      </c>
      <c r="AW509">
        <v>2</v>
      </c>
      <c r="AX509" t="s">
        <v>74</v>
      </c>
      <c r="AY509" t="s">
        <v>74</v>
      </c>
      <c r="AZ509" t="s">
        <v>74</v>
      </c>
      <c r="BA509" t="s">
        <v>74</v>
      </c>
      <c r="BB509">
        <v>739</v>
      </c>
      <c r="BC509">
        <v>746</v>
      </c>
      <c r="BD509" t="s">
        <v>74</v>
      </c>
      <c r="BE509" t="s">
        <v>7622</v>
      </c>
      <c r="BF509" t="str">
        <f>HYPERLINK("http://dx.doi.org/10.1051/0004-6361:20041876","http://dx.doi.org/10.1051/0004-6361:20041876")</f>
        <v>http://dx.doi.org/10.1051/0004-6361:20041876</v>
      </c>
      <c r="BG509" t="s">
        <v>74</v>
      </c>
      <c r="BH509" t="s">
        <v>74</v>
      </c>
      <c r="BI509">
        <v>8</v>
      </c>
      <c r="BJ509" t="s">
        <v>853</v>
      </c>
      <c r="BK509" t="s">
        <v>95</v>
      </c>
      <c r="BL509" t="s">
        <v>853</v>
      </c>
      <c r="BM509" t="s">
        <v>7623</v>
      </c>
      <c r="BN509" t="s">
        <v>74</v>
      </c>
      <c r="BO509" t="s">
        <v>539</v>
      </c>
      <c r="BP509" t="s">
        <v>74</v>
      </c>
      <c r="BQ509" t="s">
        <v>74</v>
      </c>
      <c r="BR509" t="s">
        <v>97</v>
      </c>
      <c r="BS509" t="s">
        <v>7624</v>
      </c>
      <c r="BT509" t="str">
        <f>HYPERLINK("https%3A%2F%2Fwww.webofscience.com%2Fwos%2Fwoscc%2Ffull-record%2FWOS:000226464700038","View Full Record in Web of Science")</f>
        <v>View Full Record in Web of Science</v>
      </c>
    </row>
    <row r="510" spans="1:72" x14ac:dyDescent="0.15">
      <c r="A510" t="s">
        <v>72</v>
      </c>
      <c r="B510" t="s">
        <v>7625</v>
      </c>
      <c r="C510" t="s">
        <v>74</v>
      </c>
      <c r="D510" t="s">
        <v>74</v>
      </c>
      <c r="E510" t="s">
        <v>74</v>
      </c>
      <c r="F510" t="s">
        <v>7625</v>
      </c>
      <c r="G510" t="s">
        <v>74</v>
      </c>
      <c r="H510" t="s">
        <v>74</v>
      </c>
      <c r="I510" t="s">
        <v>7626</v>
      </c>
      <c r="J510" t="s">
        <v>7627</v>
      </c>
      <c r="K510" t="s">
        <v>74</v>
      </c>
      <c r="L510" t="s">
        <v>74</v>
      </c>
      <c r="M510" t="s">
        <v>77</v>
      </c>
      <c r="N510" t="s">
        <v>78</v>
      </c>
      <c r="O510" t="s">
        <v>74</v>
      </c>
      <c r="P510" t="s">
        <v>74</v>
      </c>
      <c r="Q510" t="s">
        <v>74</v>
      </c>
      <c r="R510" t="s">
        <v>74</v>
      </c>
      <c r="S510" t="s">
        <v>74</v>
      </c>
      <c r="T510" t="s">
        <v>74</v>
      </c>
      <c r="U510" t="s">
        <v>74</v>
      </c>
      <c r="V510" t="s">
        <v>74</v>
      </c>
      <c r="W510" t="s">
        <v>7628</v>
      </c>
      <c r="X510" t="s">
        <v>7629</v>
      </c>
      <c r="Y510" t="s">
        <v>7630</v>
      </c>
      <c r="Z510" t="s">
        <v>74</v>
      </c>
      <c r="AA510" t="s">
        <v>7631</v>
      </c>
      <c r="AB510" t="s">
        <v>74</v>
      </c>
      <c r="AC510" t="s">
        <v>74</v>
      </c>
      <c r="AD510" t="s">
        <v>74</v>
      </c>
      <c r="AE510" t="s">
        <v>74</v>
      </c>
      <c r="AF510" t="s">
        <v>74</v>
      </c>
      <c r="AG510">
        <v>0</v>
      </c>
      <c r="AH510">
        <v>4</v>
      </c>
      <c r="AI510">
        <v>4</v>
      </c>
      <c r="AJ510">
        <v>0</v>
      </c>
      <c r="AK510">
        <v>4</v>
      </c>
      <c r="AL510" t="s">
        <v>1580</v>
      </c>
      <c r="AM510" t="s">
        <v>256</v>
      </c>
      <c r="AN510" t="s">
        <v>1581</v>
      </c>
      <c r="AO510" t="s">
        <v>7632</v>
      </c>
      <c r="AP510" t="s">
        <v>74</v>
      </c>
      <c r="AQ510" t="s">
        <v>74</v>
      </c>
      <c r="AR510" t="s">
        <v>7633</v>
      </c>
      <c r="AS510" t="s">
        <v>7634</v>
      </c>
      <c r="AT510" t="s">
        <v>7383</v>
      </c>
      <c r="AU510">
        <v>2005</v>
      </c>
      <c r="AV510">
        <v>46</v>
      </c>
      <c r="AW510">
        <v>1</v>
      </c>
      <c r="AX510" t="s">
        <v>74</v>
      </c>
      <c r="AY510" t="s">
        <v>74</v>
      </c>
      <c r="AZ510" t="s">
        <v>74</v>
      </c>
      <c r="BA510" t="s">
        <v>74</v>
      </c>
      <c r="BB510">
        <v>17</v>
      </c>
      <c r="BC510">
        <v>18</v>
      </c>
      <c r="BD510" t="s">
        <v>74</v>
      </c>
      <c r="BE510" t="s">
        <v>7635</v>
      </c>
      <c r="BF510" t="str">
        <f>HYPERLINK("http://dx.doi.org/10.1046/j.1468-4004.2003.46117.x","http://dx.doi.org/10.1046/j.1468-4004.2003.46117.x")</f>
        <v>http://dx.doi.org/10.1046/j.1468-4004.2003.46117.x</v>
      </c>
      <c r="BG510" t="s">
        <v>74</v>
      </c>
      <c r="BH510" t="s">
        <v>74</v>
      </c>
      <c r="BI510">
        <v>2</v>
      </c>
      <c r="BJ510" t="s">
        <v>7636</v>
      </c>
      <c r="BK510" t="s">
        <v>95</v>
      </c>
      <c r="BL510" t="s">
        <v>7636</v>
      </c>
      <c r="BM510" t="s">
        <v>7637</v>
      </c>
      <c r="BN510" t="s">
        <v>74</v>
      </c>
      <c r="BO510" t="s">
        <v>7638</v>
      </c>
      <c r="BP510" t="s">
        <v>74</v>
      </c>
      <c r="BQ510" t="s">
        <v>74</v>
      </c>
      <c r="BR510" t="s">
        <v>97</v>
      </c>
      <c r="BS510" t="s">
        <v>7639</v>
      </c>
      <c r="BT510" t="str">
        <f>HYPERLINK("https%3A%2F%2Fwww.webofscience.com%2Fwos%2Fwoscc%2Ffull-record%2FWOS:000226530200023","View Full Record in Web of Science")</f>
        <v>View Full Record in Web of Science</v>
      </c>
    </row>
    <row r="511" spans="1:72" x14ac:dyDescent="0.15">
      <c r="A511" t="s">
        <v>72</v>
      </c>
      <c r="B511" t="s">
        <v>7640</v>
      </c>
      <c r="C511" t="s">
        <v>74</v>
      </c>
      <c r="D511" t="s">
        <v>74</v>
      </c>
      <c r="E511" t="s">
        <v>74</v>
      </c>
      <c r="F511" t="s">
        <v>7640</v>
      </c>
      <c r="G511" t="s">
        <v>74</v>
      </c>
      <c r="H511" t="s">
        <v>74</v>
      </c>
      <c r="I511" t="s">
        <v>7641</v>
      </c>
      <c r="J511" t="s">
        <v>7642</v>
      </c>
      <c r="K511" t="s">
        <v>74</v>
      </c>
      <c r="L511" t="s">
        <v>74</v>
      </c>
      <c r="M511" t="s">
        <v>77</v>
      </c>
      <c r="N511" t="s">
        <v>78</v>
      </c>
      <c r="O511" t="s">
        <v>74</v>
      </c>
      <c r="P511" t="s">
        <v>74</v>
      </c>
      <c r="Q511" t="s">
        <v>74</v>
      </c>
      <c r="R511" t="s">
        <v>74</v>
      </c>
      <c r="S511" t="s">
        <v>74</v>
      </c>
      <c r="T511" t="s">
        <v>7643</v>
      </c>
      <c r="U511" t="s">
        <v>7644</v>
      </c>
      <c r="V511" t="s">
        <v>7645</v>
      </c>
      <c r="W511" t="s">
        <v>7646</v>
      </c>
      <c r="X511" t="s">
        <v>7647</v>
      </c>
      <c r="Y511" t="s">
        <v>7648</v>
      </c>
      <c r="Z511" t="s">
        <v>7649</v>
      </c>
      <c r="AA511" t="s">
        <v>7650</v>
      </c>
      <c r="AB511" t="s">
        <v>7651</v>
      </c>
      <c r="AC511" t="s">
        <v>74</v>
      </c>
      <c r="AD511" t="s">
        <v>74</v>
      </c>
      <c r="AE511" t="s">
        <v>74</v>
      </c>
      <c r="AF511" t="s">
        <v>74</v>
      </c>
      <c r="AG511">
        <v>62</v>
      </c>
      <c r="AH511">
        <v>25</v>
      </c>
      <c r="AI511">
        <v>29</v>
      </c>
      <c r="AJ511">
        <v>1</v>
      </c>
      <c r="AK511">
        <v>16</v>
      </c>
      <c r="AL511" t="s">
        <v>472</v>
      </c>
      <c r="AM511" t="s">
        <v>473</v>
      </c>
      <c r="AN511" t="s">
        <v>474</v>
      </c>
      <c r="AO511" t="s">
        <v>7652</v>
      </c>
      <c r="AP511" t="s">
        <v>7653</v>
      </c>
      <c r="AQ511" t="s">
        <v>74</v>
      </c>
      <c r="AR511" t="s">
        <v>7654</v>
      </c>
      <c r="AS511" t="s">
        <v>7655</v>
      </c>
      <c r="AT511" t="s">
        <v>7383</v>
      </c>
      <c r="AU511">
        <v>2005</v>
      </c>
      <c r="AV511">
        <v>30</v>
      </c>
      <c r="AW511">
        <v>1</v>
      </c>
      <c r="AX511" t="s">
        <v>74</v>
      </c>
      <c r="AY511" t="s">
        <v>74</v>
      </c>
      <c r="AZ511" t="s">
        <v>74</v>
      </c>
      <c r="BA511" t="s">
        <v>74</v>
      </c>
      <c r="BB511">
        <v>1</v>
      </c>
      <c r="BC511">
        <v>13</v>
      </c>
      <c r="BD511" t="s">
        <v>74</v>
      </c>
      <c r="BE511" t="s">
        <v>74</v>
      </c>
      <c r="BF511" t="s">
        <v>74</v>
      </c>
      <c r="BG511" t="s">
        <v>74</v>
      </c>
      <c r="BH511" t="s">
        <v>74</v>
      </c>
      <c r="BI511">
        <v>13</v>
      </c>
      <c r="BJ511" t="s">
        <v>3248</v>
      </c>
      <c r="BK511" t="s">
        <v>95</v>
      </c>
      <c r="BL511" t="s">
        <v>219</v>
      </c>
      <c r="BM511" t="s">
        <v>7656</v>
      </c>
      <c r="BN511" t="s">
        <v>74</v>
      </c>
      <c r="BO511" t="s">
        <v>74</v>
      </c>
      <c r="BP511" t="s">
        <v>74</v>
      </c>
      <c r="BQ511" t="s">
        <v>74</v>
      </c>
      <c r="BR511" t="s">
        <v>97</v>
      </c>
      <c r="BS511" t="s">
        <v>7657</v>
      </c>
      <c r="BT511" t="str">
        <f>HYPERLINK("https%3A%2F%2Fwww.webofscience.com%2Fwos%2Fwoscc%2Ffull-record%2FWOS:000227062400001","View Full Record in Web of Science")</f>
        <v>View Full Record in Web of Science</v>
      </c>
    </row>
    <row r="512" spans="1:72" x14ac:dyDescent="0.15">
      <c r="A512" t="s">
        <v>72</v>
      </c>
      <c r="B512" t="s">
        <v>7658</v>
      </c>
      <c r="C512" t="s">
        <v>74</v>
      </c>
      <c r="D512" t="s">
        <v>74</v>
      </c>
      <c r="E512" t="s">
        <v>74</v>
      </c>
      <c r="F512" t="s">
        <v>7658</v>
      </c>
      <c r="G512" t="s">
        <v>74</v>
      </c>
      <c r="H512" t="s">
        <v>74</v>
      </c>
      <c r="I512" t="s">
        <v>7659</v>
      </c>
      <c r="J512" t="s">
        <v>7642</v>
      </c>
      <c r="K512" t="s">
        <v>74</v>
      </c>
      <c r="L512" t="s">
        <v>74</v>
      </c>
      <c r="M512" t="s">
        <v>77</v>
      </c>
      <c r="N512" t="s">
        <v>78</v>
      </c>
      <c r="O512" t="s">
        <v>74</v>
      </c>
      <c r="P512" t="s">
        <v>74</v>
      </c>
      <c r="Q512" t="s">
        <v>74</v>
      </c>
      <c r="R512" t="s">
        <v>74</v>
      </c>
      <c r="S512" t="s">
        <v>74</v>
      </c>
      <c r="T512" t="s">
        <v>7660</v>
      </c>
      <c r="U512" t="s">
        <v>7661</v>
      </c>
      <c r="V512" t="s">
        <v>7662</v>
      </c>
      <c r="W512" t="s">
        <v>7663</v>
      </c>
      <c r="X512" t="s">
        <v>189</v>
      </c>
      <c r="Y512" t="s">
        <v>7664</v>
      </c>
      <c r="Z512" t="s">
        <v>7665</v>
      </c>
      <c r="AA512" t="s">
        <v>7666</v>
      </c>
      <c r="AB512" t="s">
        <v>7667</v>
      </c>
      <c r="AC512" t="s">
        <v>74</v>
      </c>
      <c r="AD512" t="s">
        <v>74</v>
      </c>
      <c r="AE512" t="s">
        <v>74</v>
      </c>
      <c r="AF512" t="s">
        <v>74</v>
      </c>
      <c r="AG512">
        <v>47</v>
      </c>
      <c r="AH512">
        <v>21</v>
      </c>
      <c r="AI512">
        <v>28</v>
      </c>
      <c r="AJ512">
        <v>0</v>
      </c>
      <c r="AK512">
        <v>13</v>
      </c>
      <c r="AL512" t="s">
        <v>7668</v>
      </c>
      <c r="AM512" t="s">
        <v>7669</v>
      </c>
      <c r="AN512" t="s">
        <v>7670</v>
      </c>
      <c r="AO512" t="s">
        <v>7652</v>
      </c>
      <c r="AP512" t="s">
        <v>74</v>
      </c>
      <c r="AQ512" t="s">
        <v>74</v>
      </c>
      <c r="AR512" t="s">
        <v>7654</v>
      </c>
      <c r="AS512" t="s">
        <v>7655</v>
      </c>
      <c r="AT512" t="s">
        <v>7383</v>
      </c>
      <c r="AU512">
        <v>2005</v>
      </c>
      <c r="AV512">
        <v>30</v>
      </c>
      <c r="AW512">
        <v>1</v>
      </c>
      <c r="AX512" t="s">
        <v>74</v>
      </c>
      <c r="AY512" t="s">
        <v>74</v>
      </c>
      <c r="AZ512" t="s">
        <v>74</v>
      </c>
      <c r="BA512" t="s">
        <v>74</v>
      </c>
      <c r="BB512">
        <v>118</v>
      </c>
      <c r="BC512">
        <v>125</v>
      </c>
      <c r="BD512" t="s">
        <v>74</v>
      </c>
      <c r="BE512" t="s">
        <v>7671</v>
      </c>
      <c r="BF512" t="str">
        <f>HYPERLINK("http://dx.doi.org/10.1111/j.1442-9993.2005.01430.x","http://dx.doi.org/10.1111/j.1442-9993.2005.01430.x")</f>
        <v>http://dx.doi.org/10.1111/j.1442-9993.2005.01430.x</v>
      </c>
      <c r="BG512" t="s">
        <v>74</v>
      </c>
      <c r="BH512" t="s">
        <v>74</v>
      </c>
      <c r="BI512">
        <v>8</v>
      </c>
      <c r="BJ512" t="s">
        <v>3248</v>
      </c>
      <c r="BK512" t="s">
        <v>95</v>
      </c>
      <c r="BL512" t="s">
        <v>219</v>
      </c>
      <c r="BM512" t="s">
        <v>7656</v>
      </c>
      <c r="BN512" t="s">
        <v>74</v>
      </c>
      <c r="BO512" t="s">
        <v>74</v>
      </c>
      <c r="BP512" t="s">
        <v>74</v>
      </c>
      <c r="BQ512" t="s">
        <v>74</v>
      </c>
      <c r="BR512" t="s">
        <v>97</v>
      </c>
      <c r="BS512" t="s">
        <v>7672</v>
      </c>
      <c r="BT512" t="str">
        <f>HYPERLINK("https%3A%2F%2Fwww.webofscience.com%2Fwos%2Fwoscc%2Ffull-record%2FWOS:000227062400011","View Full Record in Web of Science")</f>
        <v>View Full Record in Web of Science</v>
      </c>
    </row>
    <row r="513" spans="1:72" x14ac:dyDescent="0.15">
      <c r="A513" t="s">
        <v>72</v>
      </c>
      <c r="B513" t="s">
        <v>7673</v>
      </c>
      <c r="C513" t="s">
        <v>74</v>
      </c>
      <c r="D513" t="s">
        <v>74</v>
      </c>
      <c r="E513" t="s">
        <v>74</v>
      </c>
      <c r="F513" t="s">
        <v>7673</v>
      </c>
      <c r="G513" t="s">
        <v>74</v>
      </c>
      <c r="H513" t="s">
        <v>74</v>
      </c>
      <c r="I513" t="s">
        <v>7674</v>
      </c>
      <c r="J513" t="s">
        <v>7675</v>
      </c>
      <c r="K513" t="s">
        <v>74</v>
      </c>
      <c r="L513" t="s">
        <v>74</v>
      </c>
      <c r="M513" t="s">
        <v>77</v>
      </c>
      <c r="N513" t="s">
        <v>78</v>
      </c>
      <c r="O513" t="s">
        <v>74</v>
      </c>
      <c r="P513" t="s">
        <v>74</v>
      </c>
      <c r="Q513" t="s">
        <v>74</v>
      </c>
      <c r="R513" t="s">
        <v>74</v>
      </c>
      <c r="S513" t="s">
        <v>74</v>
      </c>
      <c r="T513" t="s">
        <v>7676</v>
      </c>
      <c r="U513" t="s">
        <v>7677</v>
      </c>
      <c r="V513" t="s">
        <v>7678</v>
      </c>
      <c r="W513" t="s">
        <v>7679</v>
      </c>
      <c r="X513" t="s">
        <v>7680</v>
      </c>
      <c r="Y513" t="s">
        <v>7681</v>
      </c>
      <c r="Z513" t="s">
        <v>7682</v>
      </c>
      <c r="AA513" t="s">
        <v>74</v>
      </c>
      <c r="AB513" t="s">
        <v>7683</v>
      </c>
      <c r="AC513" t="s">
        <v>74</v>
      </c>
      <c r="AD513" t="s">
        <v>74</v>
      </c>
      <c r="AE513" t="s">
        <v>74</v>
      </c>
      <c r="AF513" t="s">
        <v>74</v>
      </c>
      <c r="AG513">
        <v>43</v>
      </c>
      <c r="AH513">
        <v>28</v>
      </c>
      <c r="AI513">
        <v>29</v>
      </c>
      <c r="AJ513">
        <v>0</v>
      </c>
      <c r="AK513">
        <v>15</v>
      </c>
      <c r="AL513" t="s">
        <v>394</v>
      </c>
      <c r="AM513" t="s">
        <v>395</v>
      </c>
      <c r="AN513" t="s">
        <v>396</v>
      </c>
      <c r="AO513" t="s">
        <v>7684</v>
      </c>
      <c r="AP513" t="s">
        <v>7685</v>
      </c>
      <c r="AQ513" t="s">
        <v>74</v>
      </c>
      <c r="AR513" t="s">
        <v>7686</v>
      </c>
      <c r="AS513" t="s">
        <v>7687</v>
      </c>
      <c r="AT513" t="s">
        <v>7383</v>
      </c>
      <c r="AU513">
        <v>2005</v>
      </c>
      <c r="AV513">
        <v>52</v>
      </c>
      <c r="AW513">
        <v>1</v>
      </c>
      <c r="AX513" t="s">
        <v>74</v>
      </c>
      <c r="AY513" t="s">
        <v>74</v>
      </c>
      <c r="AZ513" t="s">
        <v>74</v>
      </c>
      <c r="BA513" t="s">
        <v>74</v>
      </c>
      <c r="BB513">
        <v>101</v>
      </c>
      <c r="BC513">
        <v>115</v>
      </c>
      <c r="BD513" t="s">
        <v>74</v>
      </c>
      <c r="BE513" t="s">
        <v>7688</v>
      </c>
      <c r="BF513" t="str">
        <f>HYPERLINK("http://dx.doi.org/10.1080/08120090500100036","http://dx.doi.org/10.1080/08120090500100036")</f>
        <v>http://dx.doi.org/10.1080/08120090500100036</v>
      </c>
      <c r="BG513" t="s">
        <v>74</v>
      </c>
      <c r="BH513" t="s">
        <v>74</v>
      </c>
      <c r="BI513">
        <v>15</v>
      </c>
      <c r="BJ513" t="s">
        <v>537</v>
      </c>
      <c r="BK513" t="s">
        <v>95</v>
      </c>
      <c r="BL513" t="s">
        <v>307</v>
      </c>
      <c r="BM513" t="s">
        <v>7689</v>
      </c>
      <c r="BN513" t="s">
        <v>74</v>
      </c>
      <c r="BO513" t="s">
        <v>74</v>
      </c>
      <c r="BP513" t="s">
        <v>74</v>
      </c>
      <c r="BQ513" t="s">
        <v>74</v>
      </c>
      <c r="BR513" t="s">
        <v>97</v>
      </c>
      <c r="BS513" t="s">
        <v>7690</v>
      </c>
      <c r="BT513" t="str">
        <f>HYPERLINK("https%3A%2F%2Fwww.webofscience.com%2Fwos%2Fwoscc%2Ffull-record%2FWOS:000231561900006","View Full Record in Web of Science")</f>
        <v>View Full Record in Web of Science</v>
      </c>
    </row>
    <row r="514" spans="1:72" x14ac:dyDescent="0.15">
      <c r="A514" t="s">
        <v>72</v>
      </c>
      <c r="B514" t="s">
        <v>7691</v>
      </c>
      <c r="C514" t="s">
        <v>74</v>
      </c>
      <c r="D514" t="s">
        <v>74</v>
      </c>
      <c r="E514" t="s">
        <v>74</v>
      </c>
      <c r="F514" t="s">
        <v>7691</v>
      </c>
      <c r="G514" t="s">
        <v>74</v>
      </c>
      <c r="H514" t="s">
        <v>74</v>
      </c>
      <c r="I514" t="s">
        <v>7692</v>
      </c>
      <c r="J514" t="s">
        <v>5888</v>
      </c>
      <c r="K514" t="s">
        <v>74</v>
      </c>
      <c r="L514" t="s">
        <v>74</v>
      </c>
      <c r="M514" t="s">
        <v>77</v>
      </c>
      <c r="N514" t="s">
        <v>78</v>
      </c>
      <c r="O514" t="s">
        <v>74</v>
      </c>
      <c r="P514" t="s">
        <v>74</v>
      </c>
      <c r="Q514" t="s">
        <v>74</v>
      </c>
      <c r="R514" t="s">
        <v>74</v>
      </c>
      <c r="S514" t="s">
        <v>74</v>
      </c>
      <c r="T514" t="s">
        <v>7693</v>
      </c>
      <c r="U514" t="s">
        <v>7694</v>
      </c>
      <c r="V514" t="s">
        <v>7695</v>
      </c>
      <c r="W514" t="s">
        <v>7696</v>
      </c>
      <c r="X514" t="s">
        <v>7697</v>
      </c>
      <c r="Y514" t="s">
        <v>7698</v>
      </c>
      <c r="Z514" t="s">
        <v>7699</v>
      </c>
      <c r="AA514" t="s">
        <v>6770</v>
      </c>
      <c r="AB514" t="s">
        <v>7700</v>
      </c>
      <c r="AC514" t="s">
        <v>74</v>
      </c>
      <c r="AD514" t="s">
        <v>74</v>
      </c>
      <c r="AE514" t="s">
        <v>74</v>
      </c>
      <c r="AF514" t="s">
        <v>74</v>
      </c>
      <c r="AG514">
        <v>51</v>
      </c>
      <c r="AH514">
        <v>21</v>
      </c>
      <c r="AI514">
        <v>23</v>
      </c>
      <c r="AJ514">
        <v>3</v>
      </c>
      <c r="AK514">
        <v>16</v>
      </c>
      <c r="AL514" t="s">
        <v>5898</v>
      </c>
      <c r="AM514" t="s">
        <v>5899</v>
      </c>
      <c r="AN514" t="s">
        <v>5900</v>
      </c>
      <c r="AO514" t="s">
        <v>5901</v>
      </c>
      <c r="AP514" t="s">
        <v>7701</v>
      </c>
      <c r="AQ514" t="s">
        <v>74</v>
      </c>
      <c r="AR514" t="s">
        <v>5888</v>
      </c>
      <c r="AS514" t="s">
        <v>5902</v>
      </c>
      <c r="AT514" t="s">
        <v>7383</v>
      </c>
      <c r="AU514">
        <v>2005</v>
      </c>
      <c r="AV514">
        <v>142</v>
      </c>
      <c r="AW514" t="s">
        <v>74</v>
      </c>
      <c r="AX514">
        <v>2</v>
      </c>
      <c r="AY514" t="s">
        <v>74</v>
      </c>
      <c r="AZ514" t="s">
        <v>74</v>
      </c>
      <c r="BA514" t="s">
        <v>74</v>
      </c>
      <c r="BB514">
        <v>167</v>
      </c>
      <c r="BC514">
        <v>189</v>
      </c>
      <c r="BD514" t="s">
        <v>74</v>
      </c>
      <c r="BE514" t="s">
        <v>7702</v>
      </c>
      <c r="BF514" t="str">
        <f>HYPERLINK("http://dx.doi.org/10.1163/1568539053627668","http://dx.doi.org/10.1163/1568539053627668")</f>
        <v>http://dx.doi.org/10.1163/1568539053627668</v>
      </c>
      <c r="BG514" t="s">
        <v>74</v>
      </c>
      <c r="BH514" t="s">
        <v>74</v>
      </c>
      <c r="BI514">
        <v>23</v>
      </c>
      <c r="BJ514" t="s">
        <v>5904</v>
      </c>
      <c r="BK514" t="s">
        <v>95</v>
      </c>
      <c r="BL514" t="s">
        <v>5904</v>
      </c>
      <c r="BM514" t="s">
        <v>7703</v>
      </c>
      <c r="BN514" t="s">
        <v>74</v>
      </c>
      <c r="BO514" t="s">
        <v>74</v>
      </c>
      <c r="BP514" t="s">
        <v>74</v>
      </c>
      <c r="BQ514" t="s">
        <v>74</v>
      </c>
      <c r="BR514" t="s">
        <v>97</v>
      </c>
      <c r="BS514" t="s">
        <v>7704</v>
      </c>
      <c r="BT514" t="str">
        <f>HYPERLINK("https%3A%2F%2Fwww.webofscience.com%2Fwos%2Fwoscc%2Ffull-record%2FWOS:000229075400003","View Full Record in Web of Science")</f>
        <v>View Full Record in Web of Science</v>
      </c>
    </row>
    <row r="515" spans="1:72" x14ac:dyDescent="0.15">
      <c r="A515" t="s">
        <v>72</v>
      </c>
      <c r="B515" t="s">
        <v>7705</v>
      </c>
      <c r="C515" t="s">
        <v>74</v>
      </c>
      <c r="D515" t="s">
        <v>74</v>
      </c>
      <c r="E515" t="s">
        <v>74</v>
      </c>
      <c r="F515" t="s">
        <v>7705</v>
      </c>
      <c r="G515" t="s">
        <v>74</v>
      </c>
      <c r="H515" t="s">
        <v>74</v>
      </c>
      <c r="I515" t="s">
        <v>7706</v>
      </c>
      <c r="J515" t="s">
        <v>7707</v>
      </c>
      <c r="K515" t="s">
        <v>74</v>
      </c>
      <c r="L515" t="s">
        <v>74</v>
      </c>
      <c r="M515" t="s">
        <v>77</v>
      </c>
      <c r="N515" t="s">
        <v>78</v>
      </c>
      <c r="O515" t="s">
        <v>74</v>
      </c>
      <c r="P515" t="s">
        <v>74</v>
      </c>
      <c r="Q515" t="s">
        <v>74</v>
      </c>
      <c r="R515" t="s">
        <v>74</v>
      </c>
      <c r="S515" t="s">
        <v>74</v>
      </c>
      <c r="T515" t="s">
        <v>7708</v>
      </c>
      <c r="U515" t="s">
        <v>7709</v>
      </c>
      <c r="V515" t="s">
        <v>7710</v>
      </c>
      <c r="W515" t="s">
        <v>7711</v>
      </c>
      <c r="X515" t="s">
        <v>7712</v>
      </c>
      <c r="Y515" t="s">
        <v>7713</v>
      </c>
      <c r="Z515" t="s">
        <v>7714</v>
      </c>
      <c r="AA515" t="s">
        <v>7715</v>
      </c>
      <c r="AB515" t="s">
        <v>7716</v>
      </c>
      <c r="AC515" t="s">
        <v>74</v>
      </c>
      <c r="AD515" t="s">
        <v>74</v>
      </c>
      <c r="AE515" t="s">
        <v>74</v>
      </c>
      <c r="AF515" t="s">
        <v>74</v>
      </c>
      <c r="AG515">
        <v>50</v>
      </c>
      <c r="AH515">
        <v>35</v>
      </c>
      <c r="AI515">
        <v>43</v>
      </c>
      <c r="AJ515">
        <v>2</v>
      </c>
      <c r="AK515">
        <v>42</v>
      </c>
      <c r="AL515" t="s">
        <v>133</v>
      </c>
      <c r="AM515" t="s">
        <v>374</v>
      </c>
      <c r="AN515" t="s">
        <v>375</v>
      </c>
      <c r="AO515" t="s">
        <v>7717</v>
      </c>
      <c r="AP515" t="s">
        <v>7718</v>
      </c>
      <c r="AQ515" t="s">
        <v>74</v>
      </c>
      <c r="AR515" t="s">
        <v>7719</v>
      </c>
      <c r="AS515" t="s">
        <v>7720</v>
      </c>
      <c r="AT515" t="s">
        <v>7383</v>
      </c>
      <c r="AU515">
        <v>2005</v>
      </c>
      <c r="AV515">
        <v>14</v>
      </c>
      <c r="AW515">
        <v>2</v>
      </c>
      <c r="AX515" t="s">
        <v>74</v>
      </c>
      <c r="AY515" t="s">
        <v>74</v>
      </c>
      <c r="AZ515" t="s">
        <v>74</v>
      </c>
      <c r="BA515" t="s">
        <v>74</v>
      </c>
      <c r="BB515">
        <v>461</v>
      </c>
      <c r="BC515">
        <v>474</v>
      </c>
      <c r="BD515" t="s">
        <v>74</v>
      </c>
      <c r="BE515" t="s">
        <v>7721</v>
      </c>
      <c r="BF515" t="str">
        <f>HYPERLINK("http://dx.doi.org/10.1007/10531-004-6272-6","http://dx.doi.org/10.1007/10531-004-6272-6")</f>
        <v>http://dx.doi.org/10.1007/10531-004-6272-6</v>
      </c>
      <c r="BG515" t="s">
        <v>74</v>
      </c>
      <c r="BH515" t="s">
        <v>74</v>
      </c>
      <c r="BI515">
        <v>14</v>
      </c>
      <c r="BJ515" t="s">
        <v>6113</v>
      </c>
      <c r="BK515" t="s">
        <v>95</v>
      </c>
      <c r="BL515" t="s">
        <v>141</v>
      </c>
      <c r="BM515" t="s">
        <v>7722</v>
      </c>
      <c r="BN515" t="s">
        <v>74</v>
      </c>
      <c r="BO515" t="s">
        <v>74</v>
      </c>
      <c r="BP515" t="s">
        <v>74</v>
      </c>
      <c r="BQ515" t="s">
        <v>74</v>
      </c>
      <c r="BR515" t="s">
        <v>97</v>
      </c>
      <c r="BS515" t="s">
        <v>7723</v>
      </c>
      <c r="BT515" t="str">
        <f>HYPERLINK("https%3A%2F%2Fwww.webofscience.com%2Fwos%2Fwoscc%2Ffull-record%2FWOS:000227153600016","View Full Record in Web of Science")</f>
        <v>View Full Record in Web of Science</v>
      </c>
    </row>
    <row r="516" spans="1:72" x14ac:dyDescent="0.15">
      <c r="A516" t="s">
        <v>72</v>
      </c>
      <c r="B516" t="s">
        <v>7724</v>
      </c>
      <c r="C516" t="s">
        <v>74</v>
      </c>
      <c r="D516" t="s">
        <v>74</v>
      </c>
      <c r="E516" t="s">
        <v>74</v>
      </c>
      <c r="F516" t="s">
        <v>7724</v>
      </c>
      <c r="G516" t="s">
        <v>74</v>
      </c>
      <c r="H516" t="s">
        <v>74</v>
      </c>
      <c r="I516" t="s">
        <v>7725</v>
      </c>
      <c r="J516" t="s">
        <v>7726</v>
      </c>
      <c r="K516" t="s">
        <v>74</v>
      </c>
      <c r="L516" t="s">
        <v>74</v>
      </c>
      <c r="M516" t="s">
        <v>77</v>
      </c>
      <c r="N516" t="s">
        <v>365</v>
      </c>
      <c r="O516" t="s">
        <v>74</v>
      </c>
      <c r="P516" t="s">
        <v>74</v>
      </c>
      <c r="Q516" t="s">
        <v>74</v>
      </c>
      <c r="R516" t="s">
        <v>74</v>
      </c>
      <c r="S516" t="s">
        <v>74</v>
      </c>
      <c r="T516" t="s">
        <v>7727</v>
      </c>
      <c r="U516" t="s">
        <v>7728</v>
      </c>
      <c r="V516" t="s">
        <v>7729</v>
      </c>
      <c r="W516" t="s">
        <v>7730</v>
      </c>
      <c r="X516" t="s">
        <v>7731</v>
      </c>
      <c r="Y516" t="s">
        <v>7732</v>
      </c>
      <c r="Z516" t="s">
        <v>1137</v>
      </c>
      <c r="AA516" t="s">
        <v>7733</v>
      </c>
      <c r="AB516" t="s">
        <v>7734</v>
      </c>
      <c r="AC516" t="s">
        <v>74</v>
      </c>
      <c r="AD516" t="s">
        <v>74</v>
      </c>
      <c r="AE516" t="s">
        <v>74</v>
      </c>
      <c r="AF516" t="s">
        <v>74</v>
      </c>
      <c r="AG516">
        <v>290</v>
      </c>
      <c r="AH516">
        <v>469</v>
      </c>
      <c r="AI516">
        <v>512</v>
      </c>
      <c r="AJ516">
        <v>8</v>
      </c>
      <c r="AK516">
        <v>210</v>
      </c>
      <c r="AL516" t="s">
        <v>472</v>
      </c>
      <c r="AM516" t="s">
        <v>473</v>
      </c>
      <c r="AN516" t="s">
        <v>474</v>
      </c>
      <c r="AO516" t="s">
        <v>7735</v>
      </c>
      <c r="AP516" t="s">
        <v>7736</v>
      </c>
      <c r="AQ516" t="s">
        <v>74</v>
      </c>
      <c r="AR516" t="s">
        <v>7737</v>
      </c>
      <c r="AS516" t="s">
        <v>7738</v>
      </c>
      <c r="AT516" t="s">
        <v>7383</v>
      </c>
      <c r="AU516">
        <v>2005</v>
      </c>
      <c r="AV516">
        <v>80</v>
      </c>
      <c r="AW516">
        <v>1</v>
      </c>
      <c r="AX516" t="s">
        <v>74</v>
      </c>
      <c r="AY516" t="s">
        <v>74</v>
      </c>
      <c r="AZ516" t="s">
        <v>74</v>
      </c>
      <c r="BA516" t="s">
        <v>74</v>
      </c>
      <c r="BB516">
        <v>45</v>
      </c>
      <c r="BC516">
        <v>72</v>
      </c>
      <c r="BD516" t="s">
        <v>74</v>
      </c>
      <c r="BE516" t="s">
        <v>7739</v>
      </c>
      <c r="BF516" t="str">
        <f>HYPERLINK("http://dx.doi.org/10.1017/S1464793104006542","http://dx.doi.org/10.1017/S1464793104006542")</f>
        <v>http://dx.doi.org/10.1017/S1464793104006542</v>
      </c>
      <c r="BG516" t="s">
        <v>74</v>
      </c>
      <c r="BH516" t="s">
        <v>74</v>
      </c>
      <c r="BI516">
        <v>28</v>
      </c>
      <c r="BJ516" t="s">
        <v>1820</v>
      </c>
      <c r="BK516" t="s">
        <v>95</v>
      </c>
      <c r="BL516" t="s">
        <v>1821</v>
      </c>
      <c r="BM516" t="s">
        <v>7740</v>
      </c>
      <c r="BN516">
        <v>15727038</v>
      </c>
      <c r="BO516" t="s">
        <v>539</v>
      </c>
      <c r="BP516" t="s">
        <v>74</v>
      </c>
      <c r="BQ516" t="s">
        <v>74</v>
      </c>
      <c r="BR516" t="s">
        <v>97</v>
      </c>
      <c r="BS516" t="s">
        <v>7741</v>
      </c>
      <c r="BT516" t="str">
        <f>HYPERLINK("https%3A%2F%2Fwww.webofscience.com%2Fwos%2Fwoscc%2Ffull-record%2FWOS:000227418900003","View Full Record in Web of Science")</f>
        <v>View Full Record in Web of Science</v>
      </c>
    </row>
    <row r="517" spans="1:72" x14ac:dyDescent="0.15">
      <c r="A517" t="s">
        <v>72</v>
      </c>
      <c r="B517" t="s">
        <v>7742</v>
      </c>
      <c r="C517" t="s">
        <v>74</v>
      </c>
      <c r="D517" t="s">
        <v>74</v>
      </c>
      <c r="E517" t="s">
        <v>74</v>
      </c>
      <c r="F517" t="s">
        <v>7742</v>
      </c>
      <c r="G517" t="s">
        <v>74</v>
      </c>
      <c r="H517" t="s">
        <v>74</v>
      </c>
      <c r="I517" t="s">
        <v>7743</v>
      </c>
      <c r="J517" t="s">
        <v>1335</v>
      </c>
      <c r="K517" t="s">
        <v>74</v>
      </c>
      <c r="L517" t="s">
        <v>74</v>
      </c>
      <c r="M517" t="s">
        <v>77</v>
      </c>
      <c r="N517" t="s">
        <v>78</v>
      </c>
      <c r="O517" t="s">
        <v>74</v>
      </c>
      <c r="P517" t="s">
        <v>74</v>
      </c>
      <c r="Q517" t="s">
        <v>74</v>
      </c>
      <c r="R517" t="s">
        <v>74</v>
      </c>
      <c r="S517" t="s">
        <v>74</v>
      </c>
      <c r="T517" t="s">
        <v>7744</v>
      </c>
      <c r="U517" t="s">
        <v>7745</v>
      </c>
      <c r="V517" t="s">
        <v>7746</v>
      </c>
      <c r="W517" t="s">
        <v>7747</v>
      </c>
      <c r="X517" t="s">
        <v>7748</v>
      </c>
      <c r="Y517" t="s">
        <v>7749</v>
      </c>
      <c r="Z517" t="s">
        <v>7750</v>
      </c>
      <c r="AA517" t="s">
        <v>7751</v>
      </c>
      <c r="AB517" t="s">
        <v>7752</v>
      </c>
      <c r="AC517" t="s">
        <v>74</v>
      </c>
      <c r="AD517" t="s">
        <v>74</v>
      </c>
      <c r="AE517" t="s">
        <v>74</v>
      </c>
      <c r="AF517" t="s">
        <v>74</v>
      </c>
      <c r="AG517">
        <v>34</v>
      </c>
      <c r="AH517">
        <v>14</v>
      </c>
      <c r="AI517">
        <v>16</v>
      </c>
      <c r="AJ517">
        <v>1</v>
      </c>
      <c r="AK517">
        <v>9</v>
      </c>
      <c r="AL517" t="s">
        <v>133</v>
      </c>
      <c r="AM517" t="s">
        <v>374</v>
      </c>
      <c r="AN517" t="s">
        <v>375</v>
      </c>
      <c r="AO517" t="s">
        <v>1345</v>
      </c>
      <c r="AP517" t="s">
        <v>3172</v>
      </c>
      <c r="AQ517" t="s">
        <v>74</v>
      </c>
      <c r="AR517" t="s">
        <v>1346</v>
      </c>
      <c r="AS517" t="s">
        <v>1347</v>
      </c>
      <c r="AT517" t="s">
        <v>7383</v>
      </c>
      <c r="AU517">
        <v>2005</v>
      </c>
      <c r="AV517">
        <v>114</v>
      </c>
      <c r="AW517">
        <v>2</v>
      </c>
      <c r="AX517" t="s">
        <v>74</v>
      </c>
      <c r="AY517" t="s">
        <v>74</v>
      </c>
      <c r="AZ517" t="s">
        <v>74</v>
      </c>
      <c r="BA517" t="s">
        <v>74</v>
      </c>
      <c r="BB517">
        <v>413</v>
      </c>
      <c r="BC517">
        <v>437</v>
      </c>
      <c r="BD517" t="s">
        <v>74</v>
      </c>
      <c r="BE517" t="s">
        <v>7753</v>
      </c>
      <c r="BF517" t="str">
        <f>HYPERLINK("http://dx.doi.org/10.1007/s10546-004-9564-1","http://dx.doi.org/10.1007/s10546-004-9564-1")</f>
        <v>http://dx.doi.org/10.1007/s10546-004-9564-1</v>
      </c>
      <c r="BG517" t="s">
        <v>74</v>
      </c>
      <c r="BH517" t="s">
        <v>74</v>
      </c>
      <c r="BI517">
        <v>25</v>
      </c>
      <c r="BJ517" t="s">
        <v>401</v>
      </c>
      <c r="BK517" t="s">
        <v>95</v>
      </c>
      <c r="BL517" t="s">
        <v>401</v>
      </c>
      <c r="BM517" t="s">
        <v>7754</v>
      </c>
      <c r="BN517" t="s">
        <v>74</v>
      </c>
      <c r="BO517" t="s">
        <v>74</v>
      </c>
      <c r="BP517" t="s">
        <v>74</v>
      </c>
      <c r="BQ517" t="s">
        <v>74</v>
      </c>
      <c r="BR517" t="s">
        <v>97</v>
      </c>
      <c r="BS517" t="s">
        <v>7755</v>
      </c>
      <c r="BT517" t="str">
        <f>HYPERLINK("https%3A%2F%2Fwww.webofscience.com%2Fwos%2Fwoscc%2Ffull-record%2FWOS:000225439600006","View Full Record in Web of Science")</f>
        <v>View Full Record in Web of Science</v>
      </c>
    </row>
    <row r="518" spans="1:72" x14ac:dyDescent="0.15">
      <c r="A518" t="s">
        <v>72</v>
      </c>
      <c r="B518" t="s">
        <v>7756</v>
      </c>
      <c r="C518" t="s">
        <v>74</v>
      </c>
      <c r="D518" t="s">
        <v>74</v>
      </c>
      <c r="E518" t="s">
        <v>74</v>
      </c>
      <c r="F518" t="s">
        <v>7756</v>
      </c>
      <c r="G518" t="s">
        <v>74</v>
      </c>
      <c r="H518" t="s">
        <v>74</v>
      </c>
      <c r="I518" t="s">
        <v>7757</v>
      </c>
      <c r="J518" t="s">
        <v>1335</v>
      </c>
      <c r="K518" t="s">
        <v>74</v>
      </c>
      <c r="L518" t="s">
        <v>74</v>
      </c>
      <c r="M518" t="s">
        <v>77</v>
      </c>
      <c r="N518" t="s">
        <v>78</v>
      </c>
      <c r="O518" t="s">
        <v>74</v>
      </c>
      <c r="P518" t="s">
        <v>74</v>
      </c>
      <c r="Q518" t="s">
        <v>74</v>
      </c>
      <c r="R518" t="s">
        <v>74</v>
      </c>
      <c r="S518" t="s">
        <v>74</v>
      </c>
      <c r="T518" t="s">
        <v>7758</v>
      </c>
      <c r="U518" t="s">
        <v>7759</v>
      </c>
      <c r="V518" t="s">
        <v>7760</v>
      </c>
      <c r="W518" t="s">
        <v>7761</v>
      </c>
      <c r="X518" t="s">
        <v>7762</v>
      </c>
      <c r="Y518" t="s">
        <v>7763</v>
      </c>
      <c r="Z518" t="s">
        <v>7764</v>
      </c>
      <c r="AA518" t="s">
        <v>74</v>
      </c>
      <c r="AB518" t="s">
        <v>74</v>
      </c>
      <c r="AC518" t="s">
        <v>74</v>
      </c>
      <c r="AD518" t="s">
        <v>74</v>
      </c>
      <c r="AE518" t="s">
        <v>74</v>
      </c>
      <c r="AF518" t="s">
        <v>74</v>
      </c>
      <c r="AG518">
        <v>69</v>
      </c>
      <c r="AH518">
        <v>65</v>
      </c>
      <c r="AI518">
        <v>73</v>
      </c>
      <c r="AJ518">
        <v>1</v>
      </c>
      <c r="AK518">
        <v>18</v>
      </c>
      <c r="AL518" t="s">
        <v>7765</v>
      </c>
      <c r="AM518" t="s">
        <v>374</v>
      </c>
      <c r="AN518" t="s">
        <v>375</v>
      </c>
      <c r="AO518" t="s">
        <v>1345</v>
      </c>
      <c r="AP518" t="s">
        <v>74</v>
      </c>
      <c r="AQ518" t="s">
        <v>74</v>
      </c>
      <c r="AR518" t="s">
        <v>1346</v>
      </c>
      <c r="AS518" t="s">
        <v>1347</v>
      </c>
      <c r="AT518" t="s">
        <v>7383</v>
      </c>
      <c r="AU518">
        <v>2005</v>
      </c>
      <c r="AV518">
        <v>114</v>
      </c>
      <c r="AW518">
        <v>2</v>
      </c>
      <c r="AX518" t="s">
        <v>74</v>
      </c>
      <c r="AY518" t="s">
        <v>74</v>
      </c>
      <c r="AZ518" t="s">
        <v>74</v>
      </c>
      <c r="BA518" t="s">
        <v>74</v>
      </c>
      <c r="BB518">
        <v>439</v>
      </c>
      <c r="BC518">
        <v>460</v>
      </c>
      <c r="BD518" t="s">
        <v>74</v>
      </c>
      <c r="BE518" t="s">
        <v>7766</v>
      </c>
      <c r="BF518" t="str">
        <f>HYPERLINK("http://dx.doi.org/10.1007/s10546-004-1414-7","http://dx.doi.org/10.1007/s10546-004-1414-7")</f>
        <v>http://dx.doi.org/10.1007/s10546-004-1414-7</v>
      </c>
      <c r="BG518" t="s">
        <v>74</v>
      </c>
      <c r="BH518" t="s">
        <v>74</v>
      </c>
      <c r="BI518">
        <v>22</v>
      </c>
      <c r="BJ518" t="s">
        <v>401</v>
      </c>
      <c r="BK518" t="s">
        <v>95</v>
      </c>
      <c r="BL518" t="s">
        <v>401</v>
      </c>
      <c r="BM518" t="s">
        <v>7754</v>
      </c>
      <c r="BN518" t="s">
        <v>74</v>
      </c>
      <c r="BO518" t="s">
        <v>74</v>
      </c>
      <c r="BP518" t="s">
        <v>74</v>
      </c>
      <c r="BQ518" t="s">
        <v>74</v>
      </c>
      <c r="BR518" t="s">
        <v>97</v>
      </c>
      <c r="BS518" t="s">
        <v>7767</v>
      </c>
      <c r="BT518" t="str">
        <f>HYPERLINK("https%3A%2F%2Fwww.webofscience.com%2Fwos%2Fwoscc%2Ffull-record%2FWOS:000225439600007","View Full Record in Web of Science")</f>
        <v>View Full Record in Web of Science</v>
      </c>
    </row>
    <row r="519" spans="1:72" x14ac:dyDescent="0.15">
      <c r="A519" t="s">
        <v>72</v>
      </c>
      <c r="B519" t="s">
        <v>7768</v>
      </c>
      <c r="C519" t="s">
        <v>74</v>
      </c>
      <c r="D519" t="s">
        <v>74</v>
      </c>
      <c r="E519" t="s">
        <v>74</v>
      </c>
      <c r="F519" t="s">
        <v>7768</v>
      </c>
      <c r="G519" t="s">
        <v>74</v>
      </c>
      <c r="H519" t="s">
        <v>74</v>
      </c>
      <c r="I519" t="s">
        <v>7769</v>
      </c>
      <c r="J519" t="s">
        <v>7770</v>
      </c>
      <c r="K519" t="s">
        <v>74</v>
      </c>
      <c r="L519" t="s">
        <v>74</v>
      </c>
      <c r="M519" t="s">
        <v>77</v>
      </c>
      <c r="N519" t="s">
        <v>78</v>
      </c>
      <c r="O519" t="s">
        <v>74</v>
      </c>
      <c r="P519" t="s">
        <v>74</v>
      </c>
      <c r="Q519" t="s">
        <v>74</v>
      </c>
      <c r="R519" t="s">
        <v>74</v>
      </c>
      <c r="S519" t="s">
        <v>74</v>
      </c>
      <c r="T519" t="s">
        <v>7771</v>
      </c>
      <c r="U519" t="s">
        <v>7772</v>
      </c>
      <c r="V519" t="s">
        <v>7773</v>
      </c>
      <c r="W519" t="s">
        <v>7774</v>
      </c>
      <c r="X519" t="s">
        <v>7775</v>
      </c>
      <c r="Y519" t="s">
        <v>7776</v>
      </c>
      <c r="Z519" t="s">
        <v>7777</v>
      </c>
      <c r="AA519" t="s">
        <v>74</v>
      </c>
      <c r="AB519" t="s">
        <v>74</v>
      </c>
      <c r="AC519" t="s">
        <v>74</v>
      </c>
      <c r="AD519" t="s">
        <v>74</v>
      </c>
      <c r="AE519" t="s">
        <v>74</v>
      </c>
      <c r="AF519" t="s">
        <v>74</v>
      </c>
      <c r="AG519">
        <v>40</v>
      </c>
      <c r="AH519">
        <v>4</v>
      </c>
      <c r="AI519">
        <v>5</v>
      </c>
      <c r="AJ519">
        <v>0</v>
      </c>
      <c r="AK519">
        <v>12</v>
      </c>
      <c r="AL519" t="s">
        <v>2841</v>
      </c>
      <c r="AM519" t="s">
        <v>2842</v>
      </c>
      <c r="AN519" t="s">
        <v>2843</v>
      </c>
      <c r="AO519" t="s">
        <v>7778</v>
      </c>
      <c r="AP519" t="s">
        <v>7779</v>
      </c>
      <c r="AQ519" t="s">
        <v>74</v>
      </c>
      <c r="AR519" t="s">
        <v>7780</v>
      </c>
      <c r="AS519" t="s">
        <v>7781</v>
      </c>
      <c r="AT519" t="s">
        <v>7383</v>
      </c>
      <c r="AU519">
        <v>2005</v>
      </c>
      <c r="AV519">
        <v>50</v>
      </c>
      <c r="AW519">
        <v>4</v>
      </c>
      <c r="AX519" t="s">
        <v>74</v>
      </c>
      <c r="AY519" t="s">
        <v>74</v>
      </c>
      <c r="AZ519" t="s">
        <v>74</v>
      </c>
      <c r="BA519" t="s">
        <v>74</v>
      </c>
      <c r="BB519">
        <v>347</v>
      </c>
      <c r="BC519">
        <v>355</v>
      </c>
      <c r="BD519" t="s">
        <v>74</v>
      </c>
      <c r="BE519" t="s">
        <v>7782</v>
      </c>
      <c r="BF519" t="str">
        <f>HYPERLINK("http://dx.doi.org/10.1360/03wd0608","http://dx.doi.org/10.1360/03wd0608")</f>
        <v>http://dx.doi.org/10.1360/03wd0608</v>
      </c>
      <c r="BG519" t="s">
        <v>74</v>
      </c>
      <c r="BH519" t="s">
        <v>74</v>
      </c>
      <c r="BI519">
        <v>9</v>
      </c>
      <c r="BJ519" t="s">
        <v>682</v>
      </c>
      <c r="BK519" t="s">
        <v>95</v>
      </c>
      <c r="BL519" t="s">
        <v>683</v>
      </c>
      <c r="BM519" t="s">
        <v>7783</v>
      </c>
      <c r="BN519" t="s">
        <v>74</v>
      </c>
      <c r="BO519" t="s">
        <v>74</v>
      </c>
      <c r="BP519" t="s">
        <v>74</v>
      </c>
      <c r="BQ519" t="s">
        <v>74</v>
      </c>
      <c r="BR519" t="s">
        <v>97</v>
      </c>
      <c r="BS519" t="s">
        <v>7784</v>
      </c>
      <c r="BT519" t="str">
        <f>HYPERLINK("https%3A%2F%2Fwww.webofscience.com%2Fwos%2Fwoscc%2Ffull-record%2FWOS:000228758200010","View Full Record in Web of Science")</f>
        <v>View Full Record in Web of Science</v>
      </c>
    </row>
    <row r="520" spans="1:72" x14ac:dyDescent="0.15">
      <c r="A520" t="s">
        <v>72</v>
      </c>
      <c r="B520" t="s">
        <v>7785</v>
      </c>
      <c r="C520" t="s">
        <v>74</v>
      </c>
      <c r="D520" t="s">
        <v>74</v>
      </c>
      <c r="E520" t="s">
        <v>74</v>
      </c>
      <c r="F520" t="s">
        <v>7785</v>
      </c>
      <c r="G520" t="s">
        <v>74</v>
      </c>
      <c r="H520" t="s">
        <v>74</v>
      </c>
      <c r="I520" t="s">
        <v>7786</v>
      </c>
      <c r="J520" t="s">
        <v>7787</v>
      </c>
      <c r="K520" t="s">
        <v>74</v>
      </c>
      <c r="L520" t="s">
        <v>74</v>
      </c>
      <c r="M520" t="s">
        <v>77</v>
      </c>
      <c r="N520" t="s">
        <v>249</v>
      </c>
      <c r="O520" t="s">
        <v>74</v>
      </c>
      <c r="P520" t="s">
        <v>74</v>
      </c>
      <c r="Q520" t="s">
        <v>74</v>
      </c>
      <c r="R520" t="s">
        <v>74</v>
      </c>
      <c r="S520" t="s">
        <v>74</v>
      </c>
      <c r="T520" t="s">
        <v>74</v>
      </c>
      <c r="U520" t="s">
        <v>7788</v>
      </c>
      <c r="V520" t="s">
        <v>74</v>
      </c>
      <c r="W520" t="s">
        <v>7789</v>
      </c>
      <c r="X520" t="s">
        <v>7790</v>
      </c>
      <c r="Y520" t="s">
        <v>7791</v>
      </c>
      <c r="Z520" t="s">
        <v>7792</v>
      </c>
      <c r="AA520" t="s">
        <v>74</v>
      </c>
      <c r="AB520" t="s">
        <v>7793</v>
      </c>
      <c r="AC520" t="s">
        <v>74</v>
      </c>
      <c r="AD520" t="s">
        <v>74</v>
      </c>
      <c r="AE520" t="s">
        <v>74</v>
      </c>
      <c r="AF520" t="s">
        <v>74</v>
      </c>
      <c r="AG520">
        <v>47</v>
      </c>
      <c r="AH520">
        <v>50</v>
      </c>
      <c r="AI520">
        <v>56</v>
      </c>
      <c r="AJ520">
        <v>0</v>
      </c>
      <c r="AK520">
        <v>14</v>
      </c>
      <c r="AL520" t="s">
        <v>133</v>
      </c>
      <c r="AM520" t="s">
        <v>374</v>
      </c>
      <c r="AN520" t="s">
        <v>375</v>
      </c>
      <c r="AO520" t="s">
        <v>7794</v>
      </c>
      <c r="AP520" t="s">
        <v>7795</v>
      </c>
      <c r="AQ520" t="s">
        <v>74</v>
      </c>
      <c r="AR520" t="s">
        <v>7787</v>
      </c>
      <c r="AS520" t="s">
        <v>7796</v>
      </c>
      <c r="AT520" t="s">
        <v>7383</v>
      </c>
      <c r="AU520">
        <v>2005</v>
      </c>
      <c r="AV520">
        <v>68</v>
      </c>
      <c r="AW520">
        <v>3</v>
      </c>
      <c r="AX520" t="s">
        <v>74</v>
      </c>
      <c r="AY520" t="s">
        <v>74</v>
      </c>
      <c r="AZ520" t="s">
        <v>74</v>
      </c>
      <c r="BA520" t="s">
        <v>74</v>
      </c>
      <c r="BB520">
        <v>257</v>
      </c>
      <c r="BC520">
        <v>267</v>
      </c>
      <c r="BD520" t="s">
        <v>74</v>
      </c>
      <c r="BE520" t="s">
        <v>7797</v>
      </c>
      <c r="BF520" t="str">
        <f>HYPERLINK("http://dx.doi.org/10.1007/s10584-005-5372-y","http://dx.doi.org/10.1007/s10584-005-5372-y")</f>
        <v>http://dx.doi.org/10.1007/s10584-005-5372-y</v>
      </c>
      <c r="BG520" t="s">
        <v>74</v>
      </c>
      <c r="BH520" t="s">
        <v>74</v>
      </c>
      <c r="BI520">
        <v>11</v>
      </c>
      <c r="BJ520" t="s">
        <v>2362</v>
      </c>
      <c r="BK520" t="s">
        <v>95</v>
      </c>
      <c r="BL520" t="s">
        <v>2363</v>
      </c>
      <c r="BM520" t="s">
        <v>7798</v>
      </c>
      <c r="BN520" t="s">
        <v>74</v>
      </c>
      <c r="BO520" t="s">
        <v>74</v>
      </c>
      <c r="BP520" t="s">
        <v>74</v>
      </c>
      <c r="BQ520" t="s">
        <v>74</v>
      </c>
      <c r="BR520" t="s">
        <v>97</v>
      </c>
      <c r="BS520" t="s">
        <v>7799</v>
      </c>
      <c r="BT520" t="str">
        <f>HYPERLINK("https%3A%2F%2Fwww.webofscience.com%2Fwos%2Fwoscc%2Ffull-record%2FWOS:000227473800001","View Full Record in Web of Science")</f>
        <v>View Full Record in Web of Science</v>
      </c>
    </row>
    <row r="521" spans="1:72" x14ac:dyDescent="0.15">
      <c r="A521" t="s">
        <v>72</v>
      </c>
      <c r="B521" t="s">
        <v>7800</v>
      </c>
      <c r="C521" t="s">
        <v>74</v>
      </c>
      <c r="D521" t="s">
        <v>74</v>
      </c>
      <c r="E521" t="s">
        <v>74</v>
      </c>
      <c r="F521" t="s">
        <v>7800</v>
      </c>
      <c r="G521" t="s">
        <v>74</v>
      </c>
      <c r="H521" t="s">
        <v>74</v>
      </c>
      <c r="I521" t="s">
        <v>7801</v>
      </c>
      <c r="J521" t="s">
        <v>7802</v>
      </c>
      <c r="K521" t="s">
        <v>74</v>
      </c>
      <c r="L521" t="s">
        <v>74</v>
      </c>
      <c r="M521" t="s">
        <v>77</v>
      </c>
      <c r="N521" t="s">
        <v>78</v>
      </c>
      <c r="O521" t="s">
        <v>74</v>
      </c>
      <c r="P521" t="s">
        <v>74</v>
      </c>
      <c r="Q521" t="s">
        <v>74</v>
      </c>
      <c r="R521" t="s">
        <v>74</v>
      </c>
      <c r="S521" t="s">
        <v>74</v>
      </c>
      <c r="T521" t="s">
        <v>7803</v>
      </c>
      <c r="U521" t="s">
        <v>7804</v>
      </c>
      <c r="V521" t="s">
        <v>7805</v>
      </c>
      <c r="W521" t="s">
        <v>7806</v>
      </c>
      <c r="X521" t="s">
        <v>7807</v>
      </c>
      <c r="Y521" t="s">
        <v>7808</v>
      </c>
      <c r="Z521" t="s">
        <v>7809</v>
      </c>
      <c r="AA521" t="s">
        <v>74</v>
      </c>
      <c r="AB521" t="s">
        <v>74</v>
      </c>
      <c r="AC521" t="s">
        <v>74</v>
      </c>
      <c r="AD521" t="s">
        <v>74</v>
      </c>
      <c r="AE521" t="s">
        <v>74</v>
      </c>
      <c r="AF521" t="s">
        <v>74</v>
      </c>
      <c r="AG521">
        <v>19</v>
      </c>
      <c r="AH521">
        <v>24</v>
      </c>
      <c r="AI521">
        <v>28</v>
      </c>
      <c r="AJ521">
        <v>0</v>
      </c>
      <c r="AK521">
        <v>7</v>
      </c>
      <c r="AL521" t="s">
        <v>2332</v>
      </c>
      <c r="AM521" t="s">
        <v>134</v>
      </c>
      <c r="AN521" t="s">
        <v>5409</v>
      </c>
      <c r="AO521" t="s">
        <v>7810</v>
      </c>
      <c r="AP521" t="s">
        <v>7811</v>
      </c>
      <c r="AQ521" t="s">
        <v>74</v>
      </c>
      <c r="AR521" t="s">
        <v>7812</v>
      </c>
      <c r="AS521" t="s">
        <v>7813</v>
      </c>
      <c r="AT521" t="s">
        <v>7383</v>
      </c>
      <c r="AU521">
        <v>2005</v>
      </c>
      <c r="AV521">
        <v>140</v>
      </c>
      <c r="AW521">
        <v>2</v>
      </c>
      <c r="AX521" t="s">
        <v>74</v>
      </c>
      <c r="AY521" t="s">
        <v>74</v>
      </c>
      <c r="AZ521" t="s">
        <v>74</v>
      </c>
      <c r="BA521" t="s">
        <v>74</v>
      </c>
      <c r="BB521">
        <v>179</v>
      </c>
      <c r="BC521">
        <v>185</v>
      </c>
      <c r="BD521" t="s">
        <v>74</v>
      </c>
      <c r="BE521" t="s">
        <v>7814</v>
      </c>
      <c r="BF521" t="str">
        <f>HYPERLINK("http://dx.doi.org/10.1016/j.cbpb.2004.12.001","http://dx.doi.org/10.1016/j.cbpb.2004.12.001")</f>
        <v>http://dx.doi.org/10.1016/j.cbpb.2004.12.001</v>
      </c>
      <c r="BG521" t="s">
        <v>74</v>
      </c>
      <c r="BH521" t="s">
        <v>74</v>
      </c>
      <c r="BI521">
        <v>7</v>
      </c>
      <c r="BJ521" t="s">
        <v>7815</v>
      </c>
      <c r="BK521" t="s">
        <v>95</v>
      </c>
      <c r="BL521" t="s">
        <v>7815</v>
      </c>
      <c r="BM521" t="s">
        <v>7816</v>
      </c>
      <c r="BN521">
        <v>15748857</v>
      </c>
      <c r="BO521" t="s">
        <v>74</v>
      </c>
      <c r="BP521" t="s">
        <v>74</v>
      </c>
      <c r="BQ521" t="s">
        <v>74</v>
      </c>
      <c r="BR521" t="s">
        <v>97</v>
      </c>
      <c r="BS521" t="s">
        <v>7817</v>
      </c>
      <c r="BT521" t="str">
        <f>HYPERLINK("https%3A%2F%2Fwww.webofscience.com%2Fwos%2Fwoscc%2Ffull-record%2FWOS:000227773100003","View Full Record in Web of Science")</f>
        <v>View Full Record in Web of Science</v>
      </c>
    </row>
    <row r="522" spans="1:72" x14ac:dyDescent="0.15">
      <c r="A522" t="s">
        <v>72</v>
      </c>
      <c r="B522" t="s">
        <v>7818</v>
      </c>
      <c r="C522" t="s">
        <v>74</v>
      </c>
      <c r="D522" t="s">
        <v>74</v>
      </c>
      <c r="E522" t="s">
        <v>74</v>
      </c>
      <c r="F522" t="s">
        <v>7818</v>
      </c>
      <c r="G522" t="s">
        <v>74</v>
      </c>
      <c r="H522" t="s">
        <v>74</v>
      </c>
      <c r="I522" t="s">
        <v>7819</v>
      </c>
      <c r="J522" t="s">
        <v>7820</v>
      </c>
      <c r="K522" t="s">
        <v>74</v>
      </c>
      <c r="L522" t="s">
        <v>74</v>
      </c>
      <c r="M522" t="s">
        <v>77</v>
      </c>
      <c r="N522" t="s">
        <v>495</v>
      </c>
      <c r="O522" t="s">
        <v>7821</v>
      </c>
      <c r="P522" t="s">
        <v>7822</v>
      </c>
      <c r="Q522" t="s">
        <v>7823</v>
      </c>
      <c r="R522" t="s">
        <v>74</v>
      </c>
      <c r="S522" t="s">
        <v>74</v>
      </c>
      <c r="T522" t="s">
        <v>7824</v>
      </c>
      <c r="U522" t="s">
        <v>7825</v>
      </c>
      <c r="V522" t="s">
        <v>7826</v>
      </c>
      <c r="W522" t="s">
        <v>7827</v>
      </c>
      <c r="X522" t="s">
        <v>7828</v>
      </c>
      <c r="Y522" t="s">
        <v>7829</v>
      </c>
      <c r="Z522" t="s">
        <v>7830</v>
      </c>
      <c r="AA522" t="s">
        <v>7831</v>
      </c>
      <c r="AB522" t="s">
        <v>7832</v>
      </c>
      <c r="AC522" t="s">
        <v>74</v>
      </c>
      <c r="AD522" t="s">
        <v>74</v>
      </c>
      <c r="AE522" t="s">
        <v>74</v>
      </c>
      <c r="AF522" t="s">
        <v>74</v>
      </c>
      <c r="AG522">
        <v>57</v>
      </c>
      <c r="AH522">
        <v>24</v>
      </c>
      <c r="AI522">
        <v>31</v>
      </c>
      <c r="AJ522">
        <v>0</v>
      </c>
      <c r="AK522">
        <v>11</v>
      </c>
      <c r="AL522" t="s">
        <v>7833</v>
      </c>
      <c r="AM522" t="s">
        <v>739</v>
      </c>
      <c r="AN522" t="s">
        <v>3414</v>
      </c>
      <c r="AO522" t="s">
        <v>7834</v>
      </c>
      <c r="AP522" t="s">
        <v>7835</v>
      </c>
      <c r="AQ522" t="s">
        <v>74</v>
      </c>
      <c r="AR522" t="s">
        <v>7836</v>
      </c>
      <c r="AS522" t="s">
        <v>7837</v>
      </c>
      <c r="AT522" t="s">
        <v>7383</v>
      </c>
      <c r="AU522">
        <v>2005</v>
      </c>
      <c r="AV522">
        <v>26</v>
      </c>
      <c r="AW522">
        <v>1</v>
      </c>
      <c r="AX522" t="s">
        <v>74</v>
      </c>
      <c r="AY522" t="s">
        <v>74</v>
      </c>
      <c r="AZ522" t="s">
        <v>74</v>
      </c>
      <c r="BA522" t="s">
        <v>74</v>
      </c>
      <c r="BB522">
        <v>113</v>
      </c>
      <c r="BC522">
        <v>132</v>
      </c>
      <c r="BD522" t="s">
        <v>74</v>
      </c>
      <c r="BE522" t="s">
        <v>7838</v>
      </c>
      <c r="BF522" t="str">
        <f>HYPERLINK("http://dx.doi.org/10.1016/j.cretres.2004.11.005","http://dx.doi.org/10.1016/j.cretres.2004.11.005")</f>
        <v>http://dx.doi.org/10.1016/j.cretres.2004.11.005</v>
      </c>
      <c r="BG522" t="s">
        <v>74</v>
      </c>
      <c r="BH522" t="s">
        <v>74</v>
      </c>
      <c r="BI522">
        <v>20</v>
      </c>
      <c r="BJ522" t="s">
        <v>7839</v>
      </c>
      <c r="BK522" t="s">
        <v>514</v>
      </c>
      <c r="BL522" t="s">
        <v>7839</v>
      </c>
      <c r="BM522" t="s">
        <v>7840</v>
      </c>
      <c r="BN522" t="s">
        <v>74</v>
      </c>
      <c r="BO522" t="s">
        <v>74</v>
      </c>
      <c r="BP522" t="s">
        <v>74</v>
      </c>
      <c r="BQ522" t="s">
        <v>74</v>
      </c>
      <c r="BR522" t="s">
        <v>97</v>
      </c>
      <c r="BS522" t="s">
        <v>7841</v>
      </c>
      <c r="BT522" t="str">
        <f>HYPERLINK("https%3A%2F%2Fwww.webofscience.com%2Fwos%2Fwoscc%2Ffull-record%2FWOS:000227781600012","View Full Record in Web of Science")</f>
        <v>View Full Record in Web of Science</v>
      </c>
    </row>
    <row r="523" spans="1:72" x14ac:dyDescent="0.15">
      <c r="A523" t="s">
        <v>72</v>
      </c>
      <c r="B523" t="s">
        <v>7842</v>
      </c>
      <c r="C523" t="s">
        <v>74</v>
      </c>
      <c r="D523" t="s">
        <v>74</v>
      </c>
      <c r="E523" t="s">
        <v>74</v>
      </c>
      <c r="F523" t="s">
        <v>7842</v>
      </c>
      <c r="G523" t="s">
        <v>74</v>
      </c>
      <c r="H523" t="s">
        <v>74</v>
      </c>
      <c r="I523" t="s">
        <v>7843</v>
      </c>
      <c r="J523" t="s">
        <v>7844</v>
      </c>
      <c r="K523" t="s">
        <v>74</v>
      </c>
      <c r="L523" t="s">
        <v>74</v>
      </c>
      <c r="M523" t="s">
        <v>77</v>
      </c>
      <c r="N523" t="s">
        <v>78</v>
      </c>
      <c r="O523" t="s">
        <v>74</v>
      </c>
      <c r="P523" t="s">
        <v>74</v>
      </c>
      <c r="Q523" t="s">
        <v>74</v>
      </c>
      <c r="R523" t="s">
        <v>74</v>
      </c>
      <c r="S523" t="s">
        <v>74</v>
      </c>
      <c r="T523" t="s">
        <v>7845</v>
      </c>
      <c r="U523" t="s">
        <v>7846</v>
      </c>
      <c r="V523" t="s">
        <v>7847</v>
      </c>
      <c r="W523" t="s">
        <v>7848</v>
      </c>
      <c r="X523" t="s">
        <v>7849</v>
      </c>
      <c r="Y523" t="s">
        <v>7850</v>
      </c>
      <c r="Z523" t="s">
        <v>7851</v>
      </c>
      <c r="AA523" t="s">
        <v>7852</v>
      </c>
      <c r="AB523" t="s">
        <v>7853</v>
      </c>
      <c r="AC523" t="s">
        <v>74</v>
      </c>
      <c r="AD523" t="s">
        <v>74</v>
      </c>
      <c r="AE523" t="s">
        <v>74</v>
      </c>
      <c r="AF523" t="s">
        <v>74</v>
      </c>
      <c r="AG523">
        <v>20</v>
      </c>
      <c r="AH523">
        <v>32</v>
      </c>
      <c r="AI523">
        <v>36</v>
      </c>
      <c r="AJ523">
        <v>0</v>
      </c>
      <c r="AK523">
        <v>7</v>
      </c>
      <c r="AL523" t="s">
        <v>1649</v>
      </c>
      <c r="AM523" t="s">
        <v>1650</v>
      </c>
      <c r="AN523" t="s">
        <v>1651</v>
      </c>
      <c r="AO523" t="s">
        <v>7854</v>
      </c>
      <c r="AP523" t="s">
        <v>74</v>
      </c>
      <c r="AQ523" t="s">
        <v>74</v>
      </c>
      <c r="AR523" t="s">
        <v>7844</v>
      </c>
      <c r="AS523" t="s">
        <v>7855</v>
      </c>
      <c r="AT523" t="s">
        <v>7383</v>
      </c>
      <c r="AU523">
        <v>2005</v>
      </c>
      <c r="AV523">
        <v>50</v>
      </c>
      <c r="AW523">
        <v>1</v>
      </c>
      <c r="AX523" t="s">
        <v>74</v>
      </c>
      <c r="AY523" t="s">
        <v>74</v>
      </c>
      <c r="AZ523" t="s">
        <v>74</v>
      </c>
      <c r="BA523" t="s">
        <v>74</v>
      </c>
      <c r="BB523">
        <v>21</v>
      </c>
      <c r="BC523">
        <v>28</v>
      </c>
      <c r="BD523" t="s">
        <v>74</v>
      </c>
      <c r="BE523" t="s">
        <v>7856</v>
      </c>
      <c r="BF523" t="str">
        <f>HYPERLINK("http://dx.doi.org/10.1016/j.cryobiol.2004.09.004","http://dx.doi.org/10.1016/j.cryobiol.2004.09.004")</f>
        <v>http://dx.doi.org/10.1016/j.cryobiol.2004.09.004</v>
      </c>
      <c r="BG523" t="s">
        <v>74</v>
      </c>
      <c r="BH523" t="s">
        <v>74</v>
      </c>
      <c r="BI523">
        <v>8</v>
      </c>
      <c r="BJ523" t="s">
        <v>7857</v>
      </c>
      <c r="BK523" t="s">
        <v>95</v>
      </c>
      <c r="BL523" t="s">
        <v>7858</v>
      </c>
      <c r="BM523" t="s">
        <v>7859</v>
      </c>
      <c r="BN523">
        <v>15710366</v>
      </c>
      <c r="BO523" t="s">
        <v>74</v>
      </c>
      <c r="BP523" t="s">
        <v>74</v>
      </c>
      <c r="BQ523" t="s">
        <v>74</v>
      </c>
      <c r="BR523" t="s">
        <v>97</v>
      </c>
      <c r="BS523" t="s">
        <v>7860</v>
      </c>
      <c r="BT523" t="str">
        <f>HYPERLINK("https%3A%2F%2Fwww.webofscience.com%2Fwos%2Fwoscc%2Ffull-record%2FWOS:000227260500003","View Full Record in Web of Science")</f>
        <v>View Full Record in Web of Science</v>
      </c>
    </row>
    <row r="524" spans="1:72" x14ac:dyDescent="0.15">
      <c r="A524" t="s">
        <v>72</v>
      </c>
      <c r="B524" t="s">
        <v>7861</v>
      </c>
      <c r="C524" t="s">
        <v>74</v>
      </c>
      <c r="D524" t="s">
        <v>74</v>
      </c>
      <c r="E524" t="s">
        <v>74</v>
      </c>
      <c r="F524" t="s">
        <v>7861</v>
      </c>
      <c r="G524" t="s">
        <v>74</v>
      </c>
      <c r="H524" t="s">
        <v>74</v>
      </c>
      <c r="I524" t="s">
        <v>7862</v>
      </c>
      <c r="J524" t="s">
        <v>1457</v>
      </c>
      <c r="K524" t="s">
        <v>74</v>
      </c>
      <c r="L524" t="s">
        <v>74</v>
      </c>
      <c r="M524" t="s">
        <v>77</v>
      </c>
      <c r="N524" t="s">
        <v>78</v>
      </c>
      <c r="O524" t="s">
        <v>74</v>
      </c>
      <c r="P524" t="s">
        <v>74</v>
      </c>
      <c r="Q524" t="s">
        <v>74</v>
      </c>
      <c r="R524" t="s">
        <v>74</v>
      </c>
      <c r="S524" t="s">
        <v>74</v>
      </c>
      <c r="T524" t="s">
        <v>7863</v>
      </c>
      <c r="U524" t="s">
        <v>7864</v>
      </c>
      <c r="V524" t="s">
        <v>7865</v>
      </c>
      <c r="W524" t="s">
        <v>7866</v>
      </c>
      <c r="X524" t="s">
        <v>7088</v>
      </c>
      <c r="Y524" t="s">
        <v>7867</v>
      </c>
      <c r="Z524" t="s">
        <v>7868</v>
      </c>
      <c r="AA524" t="s">
        <v>7869</v>
      </c>
      <c r="AB524" t="s">
        <v>7870</v>
      </c>
      <c r="AC524" t="s">
        <v>74</v>
      </c>
      <c r="AD524" t="s">
        <v>74</v>
      </c>
      <c r="AE524" t="s">
        <v>74</v>
      </c>
      <c r="AF524" t="s">
        <v>74</v>
      </c>
      <c r="AG524">
        <v>41</v>
      </c>
      <c r="AH524">
        <v>48</v>
      </c>
      <c r="AI524">
        <v>49</v>
      </c>
      <c r="AJ524">
        <v>0</v>
      </c>
      <c r="AK524">
        <v>13</v>
      </c>
      <c r="AL524" t="s">
        <v>255</v>
      </c>
      <c r="AM524" t="s">
        <v>256</v>
      </c>
      <c r="AN524" t="s">
        <v>257</v>
      </c>
      <c r="AO524" t="s">
        <v>1467</v>
      </c>
      <c r="AP524" t="s">
        <v>74</v>
      </c>
      <c r="AQ524" t="s">
        <v>74</v>
      </c>
      <c r="AR524" t="s">
        <v>1469</v>
      </c>
      <c r="AS524" t="s">
        <v>1470</v>
      </c>
      <c r="AT524" t="s">
        <v>7383</v>
      </c>
      <c r="AU524">
        <v>2005</v>
      </c>
      <c r="AV524">
        <v>52</v>
      </c>
      <c r="AW524">
        <v>2</v>
      </c>
      <c r="AX524" t="s">
        <v>74</v>
      </c>
      <c r="AY524" t="s">
        <v>74</v>
      </c>
      <c r="AZ524" t="s">
        <v>74</v>
      </c>
      <c r="BA524" t="s">
        <v>74</v>
      </c>
      <c r="BB524">
        <v>221</v>
      </c>
      <c r="BC524">
        <v>240</v>
      </c>
      <c r="BD524" t="s">
        <v>74</v>
      </c>
      <c r="BE524" t="s">
        <v>7871</v>
      </c>
      <c r="BF524" t="str">
        <f>HYPERLINK("http://dx.doi.org/10.1016/j.dsr.2004.07.021","http://dx.doi.org/10.1016/j.dsr.2004.07.021")</f>
        <v>http://dx.doi.org/10.1016/j.dsr.2004.07.021</v>
      </c>
      <c r="BG524" t="s">
        <v>74</v>
      </c>
      <c r="BH524" t="s">
        <v>74</v>
      </c>
      <c r="BI524">
        <v>20</v>
      </c>
      <c r="BJ524" t="s">
        <v>632</v>
      </c>
      <c r="BK524" t="s">
        <v>95</v>
      </c>
      <c r="BL524" t="s">
        <v>632</v>
      </c>
      <c r="BM524" t="s">
        <v>7872</v>
      </c>
      <c r="BN524" t="s">
        <v>74</v>
      </c>
      <c r="BO524" t="s">
        <v>74</v>
      </c>
      <c r="BP524" t="s">
        <v>74</v>
      </c>
      <c r="BQ524" t="s">
        <v>74</v>
      </c>
      <c r="BR524" t="s">
        <v>97</v>
      </c>
      <c r="BS524" t="s">
        <v>7873</v>
      </c>
      <c r="BT524" t="str">
        <f>HYPERLINK("https%3A%2F%2Fwww.webofscience.com%2Fwos%2Fwoscc%2Ffull-record%2FWOS:000227427900002","View Full Record in Web of Science")</f>
        <v>View Full Record in Web of Science</v>
      </c>
    </row>
    <row r="525" spans="1:72" x14ac:dyDescent="0.15">
      <c r="A525" t="s">
        <v>72</v>
      </c>
      <c r="B525" t="s">
        <v>7874</v>
      </c>
      <c r="C525" t="s">
        <v>74</v>
      </c>
      <c r="D525" t="s">
        <v>74</v>
      </c>
      <c r="E525" t="s">
        <v>74</v>
      </c>
      <c r="F525" t="s">
        <v>7874</v>
      </c>
      <c r="G525" t="s">
        <v>74</v>
      </c>
      <c r="H525" t="s">
        <v>74</v>
      </c>
      <c r="I525" t="s">
        <v>7875</v>
      </c>
      <c r="J525" t="s">
        <v>1457</v>
      </c>
      <c r="K525" t="s">
        <v>74</v>
      </c>
      <c r="L525" t="s">
        <v>74</v>
      </c>
      <c r="M525" t="s">
        <v>77</v>
      </c>
      <c r="N525" t="s">
        <v>78</v>
      </c>
      <c r="O525" t="s">
        <v>74</v>
      </c>
      <c r="P525" t="s">
        <v>74</v>
      </c>
      <c r="Q525" t="s">
        <v>74</v>
      </c>
      <c r="R525" t="s">
        <v>74</v>
      </c>
      <c r="S525" t="s">
        <v>74</v>
      </c>
      <c r="T525" t="s">
        <v>7876</v>
      </c>
      <c r="U525" t="s">
        <v>7877</v>
      </c>
      <c r="V525" t="s">
        <v>7878</v>
      </c>
      <c r="W525" t="s">
        <v>7879</v>
      </c>
      <c r="X525" t="s">
        <v>74</v>
      </c>
      <c r="Y525" t="s">
        <v>7880</v>
      </c>
      <c r="Z525" t="s">
        <v>7881</v>
      </c>
      <c r="AA525" t="s">
        <v>74</v>
      </c>
      <c r="AB525" t="s">
        <v>7882</v>
      </c>
      <c r="AC525" t="s">
        <v>74</v>
      </c>
      <c r="AD525" t="s">
        <v>74</v>
      </c>
      <c r="AE525" t="s">
        <v>74</v>
      </c>
      <c r="AF525" t="s">
        <v>74</v>
      </c>
      <c r="AG525">
        <v>34</v>
      </c>
      <c r="AH525">
        <v>49</v>
      </c>
      <c r="AI525">
        <v>52</v>
      </c>
      <c r="AJ525">
        <v>1</v>
      </c>
      <c r="AK525">
        <v>6</v>
      </c>
      <c r="AL525" t="s">
        <v>255</v>
      </c>
      <c r="AM525" t="s">
        <v>256</v>
      </c>
      <c r="AN525" t="s">
        <v>257</v>
      </c>
      <c r="AO525" t="s">
        <v>1467</v>
      </c>
      <c r="AP525" t="s">
        <v>1468</v>
      </c>
      <c r="AQ525" t="s">
        <v>74</v>
      </c>
      <c r="AR525" t="s">
        <v>1469</v>
      </c>
      <c r="AS525" t="s">
        <v>1470</v>
      </c>
      <c r="AT525" t="s">
        <v>7383</v>
      </c>
      <c r="AU525">
        <v>2005</v>
      </c>
      <c r="AV525">
        <v>52</v>
      </c>
      <c r="AW525">
        <v>2</v>
      </c>
      <c r="AX525" t="s">
        <v>74</v>
      </c>
      <c r="AY525" t="s">
        <v>74</v>
      </c>
      <c r="AZ525" t="s">
        <v>74</v>
      </c>
      <c r="BA525" t="s">
        <v>74</v>
      </c>
      <c r="BB525">
        <v>241</v>
      </c>
      <c r="BC525">
        <v>258</v>
      </c>
      <c r="BD525" t="s">
        <v>74</v>
      </c>
      <c r="BE525" t="s">
        <v>7883</v>
      </c>
      <c r="BF525" t="str">
        <f>HYPERLINK("http://dx.doi.org/10.1016/j.dsr.2004.10.004","http://dx.doi.org/10.1016/j.dsr.2004.10.004")</f>
        <v>http://dx.doi.org/10.1016/j.dsr.2004.10.004</v>
      </c>
      <c r="BG525" t="s">
        <v>74</v>
      </c>
      <c r="BH525" t="s">
        <v>74</v>
      </c>
      <c r="BI525">
        <v>18</v>
      </c>
      <c r="BJ525" t="s">
        <v>632</v>
      </c>
      <c r="BK525" t="s">
        <v>95</v>
      </c>
      <c r="BL525" t="s">
        <v>632</v>
      </c>
      <c r="BM525" t="s">
        <v>7872</v>
      </c>
      <c r="BN525" t="s">
        <v>74</v>
      </c>
      <c r="BO525" t="s">
        <v>74</v>
      </c>
      <c r="BP525" t="s">
        <v>74</v>
      </c>
      <c r="BQ525" t="s">
        <v>74</v>
      </c>
      <c r="BR525" t="s">
        <v>97</v>
      </c>
      <c r="BS525" t="s">
        <v>7884</v>
      </c>
      <c r="BT525" t="str">
        <f>HYPERLINK("https%3A%2F%2Fwww.webofscience.com%2Fwos%2Fwoscc%2Ffull-record%2FWOS:000227427900003","View Full Record in Web of Science")</f>
        <v>View Full Record in Web of Science</v>
      </c>
    </row>
    <row r="526" spans="1:72" x14ac:dyDescent="0.15">
      <c r="A526" t="s">
        <v>72</v>
      </c>
      <c r="B526" t="s">
        <v>7885</v>
      </c>
      <c r="C526" t="s">
        <v>74</v>
      </c>
      <c r="D526" t="s">
        <v>74</v>
      </c>
      <c r="E526" t="s">
        <v>74</v>
      </c>
      <c r="F526" t="s">
        <v>7885</v>
      </c>
      <c r="G526" t="s">
        <v>74</v>
      </c>
      <c r="H526" t="s">
        <v>74</v>
      </c>
      <c r="I526" t="s">
        <v>7886</v>
      </c>
      <c r="J526" t="s">
        <v>1457</v>
      </c>
      <c r="K526" t="s">
        <v>74</v>
      </c>
      <c r="L526" t="s">
        <v>74</v>
      </c>
      <c r="M526" t="s">
        <v>77</v>
      </c>
      <c r="N526" t="s">
        <v>78</v>
      </c>
      <c r="O526" t="s">
        <v>74</v>
      </c>
      <c r="P526" t="s">
        <v>74</v>
      </c>
      <c r="Q526" t="s">
        <v>74</v>
      </c>
      <c r="R526" t="s">
        <v>74</v>
      </c>
      <c r="S526" t="s">
        <v>74</v>
      </c>
      <c r="T526" t="s">
        <v>7887</v>
      </c>
      <c r="U526" t="s">
        <v>7888</v>
      </c>
      <c r="V526" t="s">
        <v>7889</v>
      </c>
      <c r="W526" t="s">
        <v>7890</v>
      </c>
      <c r="X526" t="s">
        <v>7891</v>
      </c>
      <c r="Y526" t="s">
        <v>7892</v>
      </c>
      <c r="Z526" t="s">
        <v>7893</v>
      </c>
      <c r="AA526" t="s">
        <v>7894</v>
      </c>
      <c r="AB526" t="s">
        <v>7895</v>
      </c>
      <c r="AC526" t="s">
        <v>74</v>
      </c>
      <c r="AD526" t="s">
        <v>74</v>
      </c>
      <c r="AE526" t="s">
        <v>74</v>
      </c>
      <c r="AF526" t="s">
        <v>74</v>
      </c>
      <c r="AG526">
        <v>58</v>
      </c>
      <c r="AH526">
        <v>90</v>
      </c>
      <c r="AI526">
        <v>104</v>
      </c>
      <c r="AJ526">
        <v>2</v>
      </c>
      <c r="AK526">
        <v>32</v>
      </c>
      <c r="AL526" t="s">
        <v>255</v>
      </c>
      <c r="AM526" t="s">
        <v>256</v>
      </c>
      <c r="AN526" t="s">
        <v>257</v>
      </c>
      <c r="AO526" t="s">
        <v>1467</v>
      </c>
      <c r="AP526" t="s">
        <v>74</v>
      </c>
      <c r="AQ526" t="s">
        <v>74</v>
      </c>
      <c r="AR526" t="s">
        <v>1469</v>
      </c>
      <c r="AS526" t="s">
        <v>1470</v>
      </c>
      <c r="AT526" t="s">
        <v>7383</v>
      </c>
      <c r="AU526">
        <v>2005</v>
      </c>
      <c r="AV526">
        <v>52</v>
      </c>
      <c r="AW526">
        <v>2</v>
      </c>
      <c r="AX526" t="s">
        <v>74</v>
      </c>
      <c r="AY526" t="s">
        <v>74</v>
      </c>
      <c r="AZ526" t="s">
        <v>74</v>
      </c>
      <c r="BA526" t="s">
        <v>74</v>
      </c>
      <c r="BB526">
        <v>295</v>
      </c>
      <c r="BC526">
        <v>318</v>
      </c>
      <c r="BD526" t="s">
        <v>74</v>
      </c>
      <c r="BE526" t="s">
        <v>7896</v>
      </c>
      <c r="BF526" t="str">
        <f>HYPERLINK("http://dx.doi.org/10.1016/j.dsr.2004.09.008","http://dx.doi.org/10.1016/j.dsr.2004.09.008")</f>
        <v>http://dx.doi.org/10.1016/j.dsr.2004.09.008</v>
      </c>
      <c r="BG526" t="s">
        <v>74</v>
      </c>
      <c r="BH526" t="s">
        <v>74</v>
      </c>
      <c r="BI526">
        <v>24</v>
      </c>
      <c r="BJ526" t="s">
        <v>632</v>
      </c>
      <c r="BK526" t="s">
        <v>95</v>
      </c>
      <c r="BL526" t="s">
        <v>632</v>
      </c>
      <c r="BM526" t="s">
        <v>7872</v>
      </c>
      <c r="BN526" t="s">
        <v>74</v>
      </c>
      <c r="BO526" t="s">
        <v>74</v>
      </c>
      <c r="BP526" t="s">
        <v>74</v>
      </c>
      <c r="BQ526" t="s">
        <v>74</v>
      </c>
      <c r="BR526" t="s">
        <v>97</v>
      </c>
      <c r="BS526" t="s">
        <v>7897</v>
      </c>
      <c r="BT526" t="str">
        <f>HYPERLINK("https%3A%2F%2Fwww.webofscience.com%2Fwos%2Fwoscc%2Ffull-record%2FWOS:000227427900006","View Full Record in Web of Science")</f>
        <v>View Full Record in Web of Science</v>
      </c>
    </row>
    <row r="527" spans="1:72" x14ac:dyDescent="0.15">
      <c r="A527" t="s">
        <v>72</v>
      </c>
      <c r="B527" t="s">
        <v>7898</v>
      </c>
      <c r="C527" t="s">
        <v>74</v>
      </c>
      <c r="D527" t="s">
        <v>74</v>
      </c>
      <c r="E527" t="s">
        <v>74</v>
      </c>
      <c r="F527" t="s">
        <v>7898</v>
      </c>
      <c r="G527" t="s">
        <v>74</v>
      </c>
      <c r="H527" t="s">
        <v>74</v>
      </c>
      <c r="I527" t="s">
        <v>7899</v>
      </c>
      <c r="J527" t="s">
        <v>1457</v>
      </c>
      <c r="K527" t="s">
        <v>74</v>
      </c>
      <c r="L527" t="s">
        <v>74</v>
      </c>
      <c r="M527" t="s">
        <v>77</v>
      </c>
      <c r="N527" t="s">
        <v>78</v>
      </c>
      <c r="O527" t="s">
        <v>74</v>
      </c>
      <c r="P527" t="s">
        <v>74</v>
      </c>
      <c r="Q527" t="s">
        <v>74</v>
      </c>
      <c r="R527" t="s">
        <v>74</v>
      </c>
      <c r="S527" t="s">
        <v>74</v>
      </c>
      <c r="T527" t="s">
        <v>7900</v>
      </c>
      <c r="U527" t="s">
        <v>7901</v>
      </c>
      <c r="V527" t="s">
        <v>7902</v>
      </c>
      <c r="W527" t="s">
        <v>7903</v>
      </c>
      <c r="X527" t="s">
        <v>7904</v>
      </c>
      <c r="Y527" t="s">
        <v>7905</v>
      </c>
      <c r="Z527" t="s">
        <v>7906</v>
      </c>
      <c r="AA527" t="s">
        <v>7907</v>
      </c>
      <c r="AB527" t="s">
        <v>7908</v>
      </c>
      <c r="AC527" t="s">
        <v>74</v>
      </c>
      <c r="AD527" t="s">
        <v>74</v>
      </c>
      <c r="AE527" t="s">
        <v>74</v>
      </c>
      <c r="AF527" t="s">
        <v>74</v>
      </c>
      <c r="AG527">
        <v>64</v>
      </c>
      <c r="AH527">
        <v>57</v>
      </c>
      <c r="AI527">
        <v>62</v>
      </c>
      <c r="AJ527">
        <v>1</v>
      </c>
      <c r="AK527">
        <v>16</v>
      </c>
      <c r="AL527" t="s">
        <v>255</v>
      </c>
      <c r="AM527" t="s">
        <v>256</v>
      </c>
      <c r="AN527" t="s">
        <v>257</v>
      </c>
      <c r="AO527" t="s">
        <v>1467</v>
      </c>
      <c r="AP527" t="s">
        <v>1468</v>
      </c>
      <c r="AQ527" t="s">
        <v>74</v>
      </c>
      <c r="AR527" t="s">
        <v>1469</v>
      </c>
      <c r="AS527" t="s">
        <v>1470</v>
      </c>
      <c r="AT527" t="s">
        <v>7383</v>
      </c>
      <c r="AU527">
        <v>2005</v>
      </c>
      <c r="AV527">
        <v>52</v>
      </c>
      <c r="AW527">
        <v>2</v>
      </c>
      <c r="AX527" t="s">
        <v>74</v>
      </c>
      <c r="AY527" t="s">
        <v>74</v>
      </c>
      <c r="AZ527" t="s">
        <v>74</v>
      </c>
      <c r="BA527" t="s">
        <v>74</v>
      </c>
      <c r="BB527">
        <v>355</v>
      </c>
      <c r="BC527">
        <v>370</v>
      </c>
      <c r="BD527" t="s">
        <v>74</v>
      </c>
      <c r="BE527" t="s">
        <v>7909</v>
      </c>
      <c r="BF527" t="str">
        <f>HYPERLINK("http://dx.doi.org/10.1016/j.dsr.2004.10.002","http://dx.doi.org/10.1016/j.dsr.2004.10.002")</f>
        <v>http://dx.doi.org/10.1016/j.dsr.2004.10.002</v>
      </c>
      <c r="BG527" t="s">
        <v>74</v>
      </c>
      <c r="BH527" t="s">
        <v>74</v>
      </c>
      <c r="BI527">
        <v>16</v>
      </c>
      <c r="BJ527" t="s">
        <v>632</v>
      </c>
      <c r="BK527" t="s">
        <v>95</v>
      </c>
      <c r="BL527" t="s">
        <v>632</v>
      </c>
      <c r="BM527" t="s">
        <v>7872</v>
      </c>
      <c r="BN527" t="s">
        <v>74</v>
      </c>
      <c r="BO527" t="s">
        <v>74</v>
      </c>
      <c r="BP527" t="s">
        <v>74</v>
      </c>
      <c r="BQ527" t="s">
        <v>74</v>
      </c>
      <c r="BR527" t="s">
        <v>97</v>
      </c>
      <c r="BS527" t="s">
        <v>7910</v>
      </c>
      <c r="BT527" t="str">
        <f>HYPERLINK("https%3A%2F%2Fwww.webofscience.com%2Fwos%2Fwoscc%2Ffull-record%2FWOS:000227427900009","View Full Record in Web of Science")</f>
        <v>View Full Record in Web of Science</v>
      </c>
    </row>
    <row r="528" spans="1:72" x14ac:dyDescent="0.15">
      <c r="A528" t="s">
        <v>72</v>
      </c>
      <c r="B528" t="s">
        <v>7911</v>
      </c>
      <c r="C528" t="s">
        <v>74</v>
      </c>
      <c r="D528" t="s">
        <v>74</v>
      </c>
      <c r="E528" t="s">
        <v>74</v>
      </c>
      <c r="F528" t="s">
        <v>7911</v>
      </c>
      <c r="G528" t="s">
        <v>74</v>
      </c>
      <c r="H528" t="s">
        <v>74</v>
      </c>
      <c r="I528" t="s">
        <v>7912</v>
      </c>
      <c r="J528" t="s">
        <v>3222</v>
      </c>
      <c r="K528" t="s">
        <v>74</v>
      </c>
      <c r="L528" t="s">
        <v>74</v>
      </c>
      <c r="M528" t="s">
        <v>77</v>
      </c>
      <c r="N528" t="s">
        <v>78</v>
      </c>
      <c r="O528" t="s">
        <v>74</v>
      </c>
      <c r="P528" t="s">
        <v>74</v>
      </c>
      <c r="Q528" t="s">
        <v>74</v>
      </c>
      <c r="R528" t="s">
        <v>74</v>
      </c>
      <c r="S528" t="s">
        <v>74</v>
      </c>
      <c r="T528" t="s">
        <v>74</v>
      </c>
      <c r="U528" t="s">
        <v>5680</v>
      </c>
      <c r="V528" t="s">
        <v>74</v>
      </c>
      <c r="W528" t="s">
        <v>7913</v>
      </c>
      <c r="X528" t="s">
        <v>3224</v>
      </c>
      <c r="Y528" t="s">
        <v>7914</v>
      </c>
      <c r="Z528" t="s">
        <v>7915</v>
      </c>
      <c r="AA528" t="s">
        <v>7916</v>
      </c>
      <c r="AB528" t="s">
        <v>7917</v>
      </c>
      <c r="AC528" t="s">
        <v>74</v>
      </c>
      <c r="AD528" t="s">
        <v>74</v>
      </c>
      <c r="AE528" t="s">
        <v>74</v>
      </c>
      <c r="AF528" t="s">
        <v>74</v>
      </c>
      <c r="AG528">
        <v>10</v>
      </c>
      <c r="AH528">
        <v>2</v>
      </c>
      <c r="AI528">
        <v>2</v>
      </c>
      <c r="AJ528">
        <v>0</v>
      </c>
      <c r="AK528">
        <v>5</v>
      </c>
      <c r="AL528" t="s">
        <v>3375</v>
      </c>
      <c r="AM528" t="s">
        <v>3376</v>
      </c>
      <c r="AN528" t="s">
        <v>3377</v>
      </c>
      <c r="AO528" t="s">
        <v>3229</v>
      </c>
      <c r="AP528" t="s">
        <v>74</v>
      </c>
      <c r="AQ528" t="s">
        <v>74</v>
      </c>
      <c r="AR528" t="s">
        <v>3231</v>
      </c>
      <c r="AS528" t="s">
        <v>3232</v>
      </c>
      <c r="AT528" t="s">
        <v>7918</v>
      </c>
      <c r="AU528">
        <v>2005</v>
      </c>
      <c r="AV528">
        <v>401</v>
      </c>
      <c r="AW528">
        <v>2</v>
      </c>
      <c r="AX528" t="s">
        <v>74</v>
      </c>
      <c r="AY528" t="s">
        <v>74</v>
      </c>
      <c r="AZ528" t="s">
        <v>74</v>
      </c>
      <c r="BA528" t="s">
        <v>74</v>
      </c>
      <c r="BB528">
        <v>258</v>
      </c>
      <c r="BC528">
        <v>262</v>
      </c>
      <c r="BD528" t="s">
        <v>74</v>
      </c>
      <c r="BE528" t="s">
        <v>74</v>
      </c>
      <c r="BF528" t="s">
        <v>74</v>
      </c>
      <c r="BG528" t="s">
        <v>74</v>
      </c>
      <c r="BH528" t="s">
        <v>74</v>
      </c>
      <c r="BI528">
        <v>5</v>
      </c>
      <c r="BJ528" t="s">
        <v>537</v>
      </c>
      <c r="BK528" t="s">
        <v>95</v>
      </c>
      <c r="BL528" t="s">
        <v>307</v>
      </c>
      <c r="BM528" t="s">
        <v>7919</v>
      </c>
      <c r="BN528" t="s">
        <v>74</v>
      </c>
      <c r="BO528" t="s">
        <v>74</v>
      </c>
      <c r="BP528" t="s">
        <v>74</v>
      </c>
      <c r="BQ528" t="s">
        <v>74</v>
      </c>
      <c r="BR528" t="s">
        <v>97</v>
      </c>
      <c r="BS528" t="s">
        <v>7920</v>
      </c>
      <c r="BT528" t="str">
        <f>HYPERLINK("https%3A%2F%2Fwww.webofscience.com%2Fwos%2Fwoscc%2Ffull-record%2FWOS:000228671600020","View Full Record in Web of Science")</f>
        <v>View Full Record in Web of Science</v>
      </c>
    </row>
    <row r="529" spans="1:72" x14ac:dyDescent="0.15">
      <c r="A529" t="s">
        <v>72</v>
      </c>
      <c r="B529" t="s">
        <v>7921</v>
      </c>
      <c r="C529" t="s">
        <v>74</v>
      </c>
      <c r="D529" t="s">
        <v>74</v>
      </c>
      <c r="E529" t="s">
        <v>74</v>
      </c>
      <c r="F529" t="s">
        <v>7921</v>
      </c>
      <c r="G529" t="s">
        <v>74</v>
      </c>
      <c r="H529" t="s">
        <v>74</v>
      </c>
      <c r="I529" t="s">
        <v>7922</v>
      </c>
      <c r="J529" t="s">
        <v>3222</v>
      </c>
      <c r="K529" t="s">
        <v>74</v>
      </c>
      <c r="L529" t="s">
        <v>74</v>
      </c>
      <c r="M529" t="s">
        <v>77</v>
      </c>
      <c r="N529" t="s">
        <v>78</v>
      </c>
      <c r="O529" t="s">
        <v>74</v>
      </c>
      <c r="P529" t="s">
        <v>74</v>
      </c>
      <c r="Q529" t="s">
        <v>74</v>
      </c>
      <c r="R529" t="s">
        <v>74</v>
      </c>
      <c r="S529" t="s">
        <v>74</v>
      </c>
      <c r="T529" t="s">
        <v>74</v>
      </c>
      <c r="U529" t="s">
        <v>7923</v>
      </c>
      <c r="V529" t="s">
        <v>74</v>
      </c>
      <c r="W529" t="s">
        <v>7924</v>
      </c>
      <c r="X529" t="s">
        <v>5999</v>
      </c>
      <c r="Y529" t="s">
        <v>7925</v>
      </c>
      <c r="Z529" t="s">
        <v>7926</v>
      </c>
      <c r="AA529" t="s">
        <v>74</v>
      </c>
      <c r="AB529" t="s">
        <v>74</v>
      </c>
      <c r="AC529" t="s">
        <v>74</v>
      </c>
      <c r="AD529" t="s">
        <v>74</v>
      </c>
      <c r="AE529" t="s">
        <v>74</v>
      </c>
      <c r="AF529" t="s">
        <v>74</v>
      </c>
      <c r="AG529">
        <v>15</v>
      </c>
      <c r="AH529">
        <v>0</v>
      </c>
      <c r="AI529">
        <v>0</v>
      </c>
      <c r="AJ529">
        <v>0</v>
      </c>
      <c r="AK529">
        <v>0</v>
      </c>
      <c r="AL529" t="s">
        <v>3227</v>
      </c>
      <c r="AM529" t="s">
        <v>134</v>
      </c>
      <c r="AN529" t="s">
        <v>3228</v>
      </c>
      <c r="AO529" t="s">
        <v>3229</v>
      </c>
      <c r="AP529" t="s">
        <v>3230</v>
      </c>
      <c r="AQ529" t="s">
        <v>74</v>
      </c>
      <c r="AR529" t="s">
        <v>3231</v>
      </c>
      <c r="AS529" t="s">
        <v>3232</v>
      </c>
      <c r="AT529" t="s">
        <v>7918</v>
      </c>
      <c r="AU529">
        <v>2005</v>
      </c>
      <c r="AV529">
        <v>401</v>
      </c>
      <c r="AW529">
        <v>2</v>
      </c>
      <c r="AX529" t="s">
        <v>74</v>
      </c>
      <c r="AY529" t="s">
        <v>74</v>
      </c>
      <c r="AZ529" t="s">
        <v>74</v>
      </c>
      <c r="BA529" t="s">
        <v>74</v>
      </c>
      <c r="BB529">
        <v>334</v>
      </c>
      <c r="BC529">
        <v>339</v>
      </c>
      <c r="BD529" t="s">
        <v>74</v>
      </c>
      <c r="BE529" t="s">
        <v>74</v>
      </c>
      <c r="BF529" t="s">
        <v>74</v>
      </c>
      <c r="BG529" t="s">
        <v>74</v>
      </c>
      <c r="BH529" t="s">
        <v>74</v>
      </c>
      <c r="BI529">
        <v>6</v>
      </c>
      <c r="BJ529" t="s">
        <v>537</v>
      </c>
      <c r="BK529" t="s">
        <v>95</v>
      </c>
      <c r="BL529" t="s">
        <v>307</v>
      </c>
      <c r="BM529" t="s">
        <v>7919</v>
      </c>
      <c r="BN529" t="s">
        <v>74</v>
      </c>
      <c r="BO529" t="s">
        <v>74</v>
      </c>
      <c r="BP529" t="s">
        <v>74</v>
      </c>
      <c r="BQ529" t="s">
        <v>74</v>
      </c>
      <c r="BR529" t="s">
        <v>97</v>
      </c>
      <c r="BS529" t="s">
        <v>7927</v>
      </c>
      <c r="BT529" t="str">
        <f>HYPERLINK("https%3A%2F%2Fwww.webofscience.com%2Fwos%2Fwoscc%2Ffull-record%2FWOS:000228671600037","View Full Record in Web of Science")</f>
        <v>View Full Record in Web of Science</v>
      </c>
    </row>
    <row r="530" spans="1:72" x14ac:dyDescent="0.15">
      <c r="A530" t="s">
        <v>72</v>
      </c>
      <c r="B530" t="s">
        <v>7928</v>
      </c>
      <c r="C530" t="s">
        <v>74</v>
      </c>
      <c r="D530" t="s">
        <v>74</v>
      </c>
      <c r="E530" t="s">
        <v>74</v>
      </c>
      <c r="F530" t="s">
        <v>7928</v>
      </c>
      <c r="G530" t="s">
        <v>74</v>
      </c>
      <c r="H530" t="s">
        <v>74</v>
      </c>
      <c r="I530" t="s">
        <v>7929</v>
      </c>
      <c r="J530" t="s">
        <v>6008</v>
      </c>
      <c r="K530" t="s">
        <v>74</v>
      </c>
      <c r="L530" t="s">
        <v>74</v>
      </c>
      <c r="M530" t="s">
        <v>77</v>
      </c>
      <c r="N530" t="s">
        <v>78</v>
      </c>
      <c r="O530" t="s">
        <v>74</v>
      </c>
      <c r="P530" t="s">
        <v>74</v>
      </c>
      <c r="Q530" t="s">
        <v>74</v>
      </c>
      <c r="R530" t="s">
        <v>74</v>
      </c>
      <c r="S530" t="s">
        <v>74</v>
      </c>
      <c r="T530" t="s">
        <v>7930</v>
      </c>
      <c r="U530" t="s">
        <v>7931</v>
      </c>
      <c r="V530" t="s">
        <v>7932</v>
      </c>
      <c r="W530" t="s">
        <v>670</v>
      </c>
      <c r="X530" t="s">
        <v>671</v>
      </c>
      <c r="Y530" t="s">
        <v>7933</v>
      </c>
      <c r="Z530" t="s">
        <v>7934</v>
      </c>
      <c r="AA530" t="s">
        <v>7935</v>
      </c>
      <c r="AB530" t="s">
        <v>7936</v>
      </c>
      <c r="AC530" t="s">
        <v>74</v>
      </c>
      <c r="AD530" t="s">
        <v>74</v>
      </c>
      <c r="AE530" t="s">
        <v>74</v>
      </c>
      <c r="AF530" t="s">
        <v>74</v>
      </c>
      <c r="AG530">
        <v>69</v>
      </c>
      <c r="AH530">
        <v>106</v>
      </c>
      <c r="AI530">
        <v>112</v>
      </c>
      <c r="AJ530">
        <v>4</v>
      </c>
      <c r="AK530">
        <v>44</v>
      </c>
      <c r="AL530" t="s">
        <v>6017</v>
      </c>
      <c r="AM530" t="s">
        <v>528</v>
      </c>
      <c r="AN530" t="s">
        <v>6018</v>
      </c>
      <c r="AO530" t="s">
        <v>6019</v>
      </c>
      <c r="AP530" t="s">
        <v>6020</v>
      </c>
      <c r="AQ530" t="s">
        <v>74</v>
      </c>
      <c r="AR530" t="s">
        <v>6008</v>
      </c>
      <c r="AS530" t="s">
        <v>3248</v>
      </c>
      <c r="AT530" t="s">
        <v>7383</v>
      </c>
      <c r="AU530">
        <v>2005</v>
      </c>
      <c r="AV530">
        <v>86</v>
      </c>
      <c r="AW530">
        <v>2</v>
      </c>
      <c r="AX530" t="s">
        <v>74</v>
      </c>
      <c r="AY530" t="s">
        <v>74</v>
      </c>
      <c r="AZ530" t="s">
        <v>74</v>
      </c>
      <c r="BA530" t="s">
        <v>74</v>
      </c>
      <c r="BB530">
        <v>519</v>
      </c>
      <c r="BC530">
        <v>527</v>
      </c>
      <c r="BD530" t="s">
        <v>74</v>
      </c>
      <c r="BE530" t="s">
        <v>7937</v>
      </c>
      <c r="BF530" t="str">
        <f>HYPERLINK("http://dx.doi.org/10.1890/04-0684","http://dx.doi.org/10.1890/04-0684")</f>
        <v>http://dx.doi.org/10.1890/04-0684</v>
      </c>
      <c r="BG530" t="s">
        <v>74</v>
      </c>
      <c r="BH530" t="s">
        <v>74</v>
      </c>
      <c r="BI530">
        <v>9</v>
      </c>
      <c r="BJ530" t="s">
        <v>3248</v>
      </c>
      <c r="BK530" t="s">
        <v>95</v>
      </c>
      <c r="BL530" t="s">
        <v>219</v>
      </c>
      <c r="BM530" t="s">
        <v>7938</v>
      </c>
      <c r="BN530" t="s">
        <v>74</v>
      </c>
      <c r="BO530" t="s">
        <v>74</v>
      </c>
      <c r="BP530" t="s">
        <v>74</v>
      </c>
      <c r="BQ530" t="s">
        <v>74</v>
      </c>
      <c r="BR530" t="s">
        <v>97</v>
      </c>
      <c r="BS530" t="s">
        <v>7939</v>
      </c>
      <c r="BT530" t="str">
        <f>HYPERLINK("https%3A%2F%2Fwww.webofscience.com%2Fwos%2Fwoscc%2Ffull-record%2FWOS:000227634400027","View Full Record in Web of Science")</f>
        <v>View Full Record in Web of Science</v>
      </c>
    </row>
    <row r="531" spans="1:72" x14ac:dyDescent="0.15">
      <c r="A531" t="s">
        <v>72</v>
      </c>
      <c r="B531" t="s">
        <v>7940</v>
      </c>
      <c r="C531" t="s">
        <v>74</v>
      </c>
      <c r="D531" t="s">
        <v>74</v>
      </c>
      <c r="E531" t="s">
        <v>74</v>
      </c>
      <c r="F531" t="s">
        <v>7940</v>
      </c>
      <c r="G531" t="s">
        <v>74</v>
      </c>
      <c r="H531" t="s">
        <v>74</v>
      </c>
      <c r="I531" t="s">
        <v>7941</v>
      </c>
      <c r="J531" t="s">
        <v>7942</v>
      </c>
      <c r="K531" t="s">
        <v>74</v>
      </c>
      <c r="L531" t="s">
        <v>74</v>
      </c>
      <c r="M531" t="s">
        <v>77</v>
      </c>
      <c r="N531" t="s">
        <v>78</v>
      </c>
      <c r="O531" t="s">
        <v>74</v>
      </c>
      <c r="P531" t="s">
        <v>74</v>
      </c>
      <c r="Q531" t="s">
        <v>74</v>
      </c>
      <c r="R531" t="s">
        <v>74</v>
      </c>
      <c r="S531" t="s">
        <v>74</v>
      </c>
      <c r="T531" t="s">
        <v>7943</v>
      </c>
      <c r="U531" t="s">
        <v>7944</v>
      </c>
      <c r="V531" t="s">
        <v>7945</v>
      </c>
      <c r="W531" t="s">
        <v>7946</v>
      </c>
      <c r="X531" t="s">
        <v>7947</v>
      </c>
      <c r="Y531" t="s">
        <v>7948</v>
      </c>
      <c r="Z531" t="s">
        <v>7949</v>
      </c>
      <c r="AA531" t="s">
        <v>74</v>
      </c>
      <c r="AB531" t="s">
        <v>7950</v>
      </c>
      <c r="AC531" t="s">
        <v>74</v>
      </c>
      <c r="AD531" t="s">
        <v>74</v>
      </c>
      <c r="AE531" t="s">
        <v>74</v>
      </c>
      <c r="AF531" t="s">
        <v>74</v>
      </c>
      <c r="AG531">
        <v>37</v>
      </c>
      <c r="AH531">
        <v>22</v>
      </c>
      <c r="AI531">
        <v>23</v>
      </c>
      <c r="AJ531">
        <v>0</v>
      </c>
      <c r="AK531">
        <v>0</v>
      </c>
      <c r="AL531" t="s">
        <v>472</v>
      </c>
      <c r="AM531" t="s">
        <v>473</v>
      </c>
      <c r="AN531" t="s">
        <v>474</v>
      </c>
      <c r="AO531" t="s">
        <v>7951</v>
      </c>
      <c r="AP531" t="s">
        <v>7952</v>
      </c>
      <c r="AQ531" t="s">
        <v>74</v>
      </c>
      <c r="AR531" t="s">
        <v>7953</v>
      </c>
      <c r="AS531" t="s">
        <v>7954</v>
      </c>
      <c r="AT531" t="s">
        <v>7383</v>
      </c>
      <c r="AU531">
        <v>2005</v>
      </c>
      <c r="AV531">
        <v>272</v>
      </c>
      <c r="AW531">
        <v>3</v>
      </c>
      <c r="AX531" t="s">
        <v>74</v>
      </c>
      <c r="AY531" t="s">
        <v>74</v>
      </c>
      <c r="AZ531" t="s">
        <v>74</v>
      </c>
      <c r="BA531" t="s">
        <v>74</v>
      </c>
      <c r="BB531">
        <v>632</v>
      </c>
      <c r="BC531">
        <v>642</v>
      </c>
      <c r="BD531" t="s">
        <v>74</v>
      </c>
      <c r="BE531" t="s">
        <v>7955</v>
      </c>
      <c r="BF531" t="str">
        <f>HYPERLINK("http://dx.doi.org/10.1111/j.1742-4658.2004.04468.x","http://dx.doi.org/10.1111/j.1742-4658.2004.04468.x")</f>
        <v>http://dx.doi.org/10.1111/j.1742-4658.2004.04468.x</v>
      </c>
      <c r="BG531" t="s">
        <v>74</v>
      </c>
      <c r="BH531" t="s">
        <v>74</v>
      </c>
      <c r="BI531">
        <v>11</v>
      </c>
      <c r="BJ531" t="s">
        <v>6322</v>
      </c>
      <c r="BK531" t="s">
        <v>95</v>
      </c>
      <c r="BL531" t="s">
        <v>6322</v>
      </c>
      <c r="BM531" t="s">
        <v>7956</v>
      </c>
      <c r="BN531">
        <v>15670146</v>
      </c>
      <c r="BO531" t="s">
        <v>539</v>
      </c>
      <c r="BP531" t="s">
        <v>74</v>
      </c>
      <c r="BQ531" t="s">
        <v>74</v>
      </c>
      <c r="BR531" t="s">
        <v>97</v>
      </c>
      <c r="BS531" t="s">
        <v>7957</v>
      </c>
      <c r="BT531" t="str">
        <f>HYPERLINK("https%3A%2F%2Fwww.webofscience.com%2Fwos%2Fwoscc%2Ffull-record%2FWOS:000227359400002","View Full Record in Web of Science")</f>
        <v>View Full Record in Web of Science</v>
      </c>
    </row>
    <row r="532" spans="1:72" x14ac:dyDescent="0.15">
      <c r="A532" t="s">
        <v>72</v>
      </c>
      <c r="B532" t="s">
        <v>7958</v>
      </c>
      <c r="C532" t="s">
        <v>74</v>
      </c>
      <c r="D532" t="s">
        <v>74</v>
      </c>
      <c r="E532" t="s">
        <v>74</v>
      </c>
      <c r="F532" t="s">
        <v>7958</v>
      </c>
      <c r="G532" t="s">
        <v>74</v>
      </c>
      <c r="H532" t="s">
        <v>74</v>
      </c>
      <c r="I532" t="s">
        <v>7959</v>
      </c>
      <c r="J532" t="s">
        <v>7960</v>
      </c>
      <c r="K532" t="s">
        <v>74</v>
      </c>
      <c r="L532" t="s">
        <v>74</v>
      </c>
      <c r="M532" t="s">
        <v>77</v>
      </c>
      <c r="N532" t="s">
        <v>78</v>
      </c>
      <c r="O532" t="s">
        <v>74</v>
      </c>
      <c r="P532" t="s">
        <v>74</v>
      </c>
      <c r="Q532" t="s">
        <v>74</v>
      </c>
      <c r="R532" t="s">
        <v>74</v>
      </c>
      <c r="S532" t="s">
        <v>74</v>
      </c>
      <c r="T532" t="s">
        <v>7961</v>
      </c>
      <c r="U532" t="s">
        <v>7962</v>
      </c>
      <c r="V532" t="s">
        <v>7963</v>
      </c>
      <c r="W532" t="s">
        <v>7964</v>
      </c>
      <c r="X532" t="s">
        <v>7965</v>
      </c>
      <c r="Y532" t="s">
        <v>7966</v>
      </c>
      <c r="Z532" t="s">
        <v>7967</v>
      </c>
      <c r="AA532" t="s">
        <v>74</v>
      </c>
      <c r="AB532" t="s">
        <v>74</v>
      </c>
      <c r="AC532" t="s">
        <v>74</v>
      </c>
      <c r="AD532" t="s">
        <v>74</v>
      </c>
      <c r="AE532" t="s">
        <v>74</v>
      </c>
      <c r="AF532" t="s">
        <v>74</v>
      </c>
      <c r="AG532">
        <v>36</v>
      </c>
      <c r="AH532">
        <v>5</v>
      </c>
      <c r="AI532">
        <v>6</v>
      </c>
      <c r="AJ532">
        <v>0</v>
      </c>
      <c r="AK532">
        <v>15</v>
      </c>
      <c r="AL532" t="s">
        <v>2898</v>
      </c>
      <c r="AM532" t="s">
        <v>2899</v>
      </c>
      <c r="AN532" t="s">
        <v>2900</v>
      </c>
      <c r="AO532" t="s">
        <v>7968</v>
      </c>
      <c r="AP532" t="s">
        <v>7969</v>
      </c>
      <c r="AQ532" t="s">
        <v>74</v>
      </c>
      <c r="AR532" t="s">
        <v>7970</v>
      </c>
      <c r="AS532" t="s">
        <v>7971</v>
      </c>
      <c r="AT532" t="s">
        <v>7383</v>
      </c>
      <c r="AU532">
        <v>2005</v>
      </c>
      <c r="AV532">
        <v>71</v>
      </c>
      <c r="AW532">
        <v>1</v>
      </c>
      <c r="AX532" t="s">
        <v>74</v>
      </c>
      <c r="AY532" t="s">
        <v>74</v>
      </c>
      <c r="AZ532" t="s">
        <v>74</v>
      </c>
      <c r="BA532" t="s">
        <v>74</v>
      </c>
      <c r="BB532">
        <v>12</v>
      </c>
      <c r="BC532">
        <v>19</v>
      </c>
      <c r="BD532" t="s">
        <v>74</v>
      </c>
      <c r="BE532" t="s">
        <v>7972</v>
      </c>
      <c r="BF532" t="str">
        <f>HYPERLINK("http://dx.doi.org/10.1111/j.1444-2906.2005.00925.x","http://dx.doi.org/10.1111/j.1444-2906.2005.00925.x")</f>
        <v>http://dx.doi.org/10.1111/j.1444-2906.2005.00925.x</v>
      </c>
      <c r="BG532" t="s">
        <v>74</v>
      </c>
      <c r="BH532" t="s">
        <v>74</v>
      </c>
      <c r="BI532">
        <v>8</v>
      </c>
      <c r="BJ532" t="s">
        <v>1616</v>
      </c>
      <c r="BK532" t="s">
        <v>95</v>
      </c>
      <c r="BL532" t="s">
        <v>1616</v>
      </c>
      <c r="BM532" t="s">
        <v>7973</v>
      </c>
      <c r="BN532" t="s">
        <v>74</v>
      </c>
      <c r="BO532" t="s">
        <v>74</v>
      </c>
      <c r="BP532" t="s">
        <v>74</v>
      </c>
      <c r="BQ532" t="s">
        <v>74</v>
      </c>
      <c r="BR532" t="s">
        <v>97</v>
      </c>
      <c r="BS532" t="s">
        <v>7974</v>
      </c>
      <c r="BT532" t="str">
        <f>HYPERLINK("https%3A%2F%2Fwww.webofscience.com%2Fwos%2Fwoscc%2Ffull-record%2FWOS:000227249900002","View Full Record in Web of Science")</f>
        <v>View Full Record in Web of Science</v>
      </c>
    </row>
    <row r="533" spans="1:72" x14ac:dyDescent="0.15">
      <c r="A533" t="s">
        <v>72</v>
      </c>
      <c r="B533" t="s">
        <v>7975</v>
      </c>
      <c r="C533" t="s">
        <v>74</v>
      </c>
      <c r="D533" t="s">
        <v>74</v>
      </c>
      <c r="E533" t="s">
        <v>74</v>
      </c>
      <c r="F533" t="s">
        <v>7975</v>
      </c>
      <c r="G533" t="s">
        <v>74</v>
      </c>
      <c r="H533" t="s">
        <v>74</v>
      </c>
      <c r="I533" t="s">
        <v>7976</v>
      </c>
      <c r="J533" t="s">
        <v>7960</v>
      </c>
      <c r="K533" t="s">
        <v>74</v>
      </c>
      <c r="L533" t="s">
        <v>74</v>
      </c>
      <c r="M533" t="s">
        <v>77</v>
      </c>
      <c r="N533" t="s">
        <v>78</v>
      </c>
      <c r="O533" t="s">
        <v>74</v>
      </c>
      <c r="P533" t="s">
        <v>74</v>
      </c>
      <c r="Q533" t="s">
        <v>74</v>
      </c>
      <c r="R533" t="s">
        <v>74</v>
      </c>
      <c r="S533" t="s">
        <v>74</v>
      </c>
      <c r="T533" t="s">
        <v>7977</v>
      </c>
      <c r="U533" t="s">
        <v>7978</v>
      </c>
      <c r="V533" t="s">
        <v>7979</v>
      </c>
      <c r="W533" t="s">
        <v>7980</v>
      </c>
      <c r="X533" t="s">
        <v>7981</v>
      </c>
      <c r="Y533" t="s">
        <v>7982</v>
      </c>
      <c r="Z533" t="s">
        <v>7983</v>
      </c>
      <c r="AA533" t="s">
        <v>74</v>
      </c>
      <c r="AB533" t="s">
        <v>74</v>
      </c>
      <c r="AC533" t="s">
        <v>74</v>
      </c>
      <c r="AD533" t="s">
        <v>74</v>
      </c>
      <c r="AE533" t="s">
        <v>74</v>
      </c>
      <c r="AF533" t="s">
        <v>74</v>
      </c>
      <c r="AG533">
        <v>47</v>
      </c>
      <c r="AH533">
        <v>38</v>
      </c>
      <c r="AI533">
        <v>52</v>
      </c>
      <c r="AJ533">
        <v>0</v>
      </c>
      <c r="AK533">
        <v>12</v>
      </c>
      <c r="AL533" t="s">
        <v>2898</v>
      </c>
      <c r="AM533" t="s">
        <v>2899</v>
      </c>
      <c r="AN533" t="s">
        <v>2900</v>
      </c>
      <c r="AO533" t="s">
        <v>7968</v>
      </c>
      <c r="AP533" t="s">
        <v>7969</v>
      </c>
      <c r="AQ533" t="s">
        <v>74</v>
      </c>
      <c r="AR533" t="s">
        <v>7970</v>
      </c>
      <c r="AS533" t="s">
        <v>7971</v>
      </c>
      <c r="AT533" t="s">
        <v>7383</v>
      </c>
      <c r="AU533">
        <v>2005</v>
      </c>
      <c r="AV533">
        <v>71</v>
      </c>
      <c r="AW533">
        <v>1</v>
      </c>
      <c r="AX533" t="s">
        <v>74</v>
      </c>
      <c r="AY533" t="s">
        <v>74</v>
      </c>
      <c r="AZ533" t="s">
        <v>74</v>
      </c>
      <c r="BA533" t="s">
        <v>74</v>
      </c>
      <c r="BB533">
        <v>141</v>
      </c>
      <c r="BC533">
        <v>150</v>
      </c>
      <c r="BD533" t="s">
        <v>74</v>
      </c>
      <c r="BE533" t="s">
        <v>7984</v>
      </c>
      <c r="BF533" t="str">
        <f>HYPERLINK("http://dx.doi.org/10.1111/j.1444-2906.2005.00941.x","http://dx.doi.org/10.1111/j.1444-2906.2005.00941.x")</f>
        <v>http://dx.doi.org/10.1111/j.1444-2906.2005.00941.x</v>
      </c>
      <c r="BG533" t="s">
        <v>74</v>
      </c>
      <c r="BH533" t="s">
        <v>74</v>
      </c>
      <c r="BI533">
        <v>10</v>
      </c>
      <c r="BJ533" t="s">
        <v>1616</v>
      </c>
      <c r="BK533" t="s">
        <v>95</v>
      </c>
      <c r="BL533" t="s">
        <v>1616</v>
      </c>
      <c r="BM533" t="s">
        <v>7973</v>
      </c>
      <c r="BN533" t="s">
        <v>74</v>
      </c>
      <c r="BO533" t="s">
        <v>74</v>
      </c>
      <c r="BP533" t="s">
        <v>74</v>
      </c>
      <c r="BQ533" t="s">
        <v>74</v>
      </c>
      <c r="BR533" t="s">
        <v>97</v>
      </c>
      <c r="BS533" t="s">
        <v>7985</v>
      </c>
      <c r="BT533" t="str">
        <f>HYPERLINK("https%3A%2F%2Fwww.webofscience.com%2Fwos%2Fwoscc%2Ffull-record%2FWOS:000227249900018","View Full Record in Web of Science")</f>
        <v>View Full Record in Web of Science</v>
      </c>
    </row>
    <row r="534" spans="1:72" x14ac:dyDescent="0.15">
      <c r="A534" t="s">
        <v>72</v>
      </c>
      <c r="B534" t="s">
        <v>7986</v>
      </c>
      <c r="C534" t="s">
        <v>74</v>
      </c>
      <c r="D534" t="s">
        <v>74</v>
      </c>
      <c r="E534" t="s">
        <v>74</v>
      </c>
      <c r="F534" t="s">
        <v>7986</v>
      </c>
      <c r="G534" t="s">
        <v>74</v>
      </c>
      <c r="H534" t="s">
        <v>74</v>
      </c>
      <c r="I534" t="s">
        <v>7987</v>
      </c>
      <c r="J534" t="s">
        <v>7988</v>
      </c>
      <c r="K534" t="s">
        <v>74</v>
      </c>
      <c r="L534" t="s">
        <v>74</v>
      </c>
      <c r="M534" t="s">
        <v>77</v>
      </c>
      <c r="N534" t="s">
        <v>78</v>
      </c>
      <c r="O534" t="s">
        <v>74</v>
      </c>
      <c r="P534" t="s">
        <v>74</v>
      </c>
      <c r="Q534" t="s">
        <v>74</v>
      </c>
      <c r="R534" t="s">
        <v>74</v>
      </c>
      <c r="S534" t="s">
        <v>74</v>
      </c>
      <c r="T534" t="s">
        <v>7989</v>
      </c>
      <c r="U534" t="s">
        <v>7990</v>
      </c>
      <c r="V534" t="s">
        <v>7991</v>
      </c>
      <c r="W534" t="s">
        <v>7992</v>
      </c>
      <c r="X534" t="s">
        <v>7993</v>
      </c>
      <c r="Y534" t="s">
        <v>7994</v>
      </c>
      <c r="Z534" t="s">
        <v>7995</v>
      </c>
      <c r="AA534" t="s">
        <v>74</v>
      </c>
      <c r="AB534" t="s">
        <v>7996</v>
      </c>
      <c r="AC534" t="s">
        <v>74</v>
      </c>
      <c r="AD534" t="s">
        <v>74</v>
      </c>
      <c r="AE534" t="s">
        <v>74</v>
      </c>
      <c r="AF534" t="s">
        <v>74</v>
      </c>
      <c r="AG534">
        <v>47</v>
      </c>
      <c r="AH534">
        <v>29</v>
      </c>
      <c r="AI534">
        <v>32</v>
      </c>
      <c r="AJ534">
        <v>0</v>
      </c>
      <c r="AK534">
        <v>22</v>
      </c>
      <c r="AL534" t="s">
        <v>472</v>
      </c>
      <c r="AM534" t="s">
        <v>473</v>
      </c>
      <c r="AN534" t="s">
        <v>474</v>
      </c>
      <c r="AO534" t="s">
        <v>7997</v>
      </c>
      <c r="AP534" t="s">
        <v>7998</v>
      </c>
      <c r="AQ534" t="s">
        <v>74</v>
      </c>
      <c r="AR534" t="s">
        <v>7999</v>
      </c>
      <c r="AS534" t="s">
        <v>8000</v>
      </c>
      <c r="AT534" t="s">
        <v>7383</v>
      </c>
      <c r="AU534">
        <v>2005</v>
      </c>
      <c r="AV534">
        <v>19</v>
      </c>
      <c r="AW534">
        <v>1</v>
      </c>
      <c r="AX534" t="s">
        <v>74</v>
      </c>
      <c r="AY534" t="s">
        <v>74</v>
      </c>
      <c r="AZ534" t="s">
        <v>74</v>
      </c>
      <c r="BA534" t="s">
        <v>74</v>
      </c>
      <c r="BB534">
        <v>73</v>
      </c>
      <c r="BC534">
        <v>80</v>
      </c>
      <c r="BD534" t="s">
        <v>74</v>
      </c>
      <c r="BE534" t="s">
        <v>8001</v>
      </c>
      <c r="BF534" t="str">
        <f>HYPERLINK("http://dx.doi.org/10.1111/j.0269-8463.2005.00933.x","http://dx.doi.org/10.1111/j.0269-8463.2005.00933.x")</f>
        <v>http://dx.doi.org/10.1111/j.0269-8463.2005.00933.x</v>
      </c>
      <c r="BG534" t="s">
        <v>74</v>
      </c>
      <c r="BH534" t="s">
        <v>74</v>
      </c>
      <c r="BI534">
        <v>8</v>
      </c>
      <c r="BJ534" t="s">
        <v>3248</v>
      </c>
      <c r="BK534" t="s">
        <v>95</v>
      </c>
      <c r="BL534" t="s">
        <v>219</v>
      </c>
      <c r="BM534" t="s">
        <v>8002</v>
      </c>
      <c r="BN534" t="s">
        <v>74</v>
      </c>
      <c r="BO534" t="s">
        <v>74</v>
      </c>
      <c r="BP534" t="s">
        <v>74</v>
      </c>
      <c r="BQ534" t="s">
        <v>74</v>
      </c>
      <c r="BR534" t="s">
        <v>97</v>
      </c>
      <c r="BS534" t="s">
        <v>8003</v>
      </c>
      <c r="BT534" t="str">
        <f>HYPERLINK("https%3A%2F%2Fwww.webofscience.com%2Fwos%2Fwoscc%2Ffull-record%2FWOS:000227672000010","View Full Record in Web of Science")</f>
        <v>View Full Record in Web of Science</v>
      </c>
    </row>
    <row r="535" spans="1:72" x14ac:dyDescent="0.15">
      <c r="A535" t="s">
        <v>72</v>
      </c>
      <c r="B535" t="s">
        <v>8004</v>
      </c>
      <c r="C535" t="s">
        <v>74</v>
      </c>
      <c r="D535" t="s">
        <v>74</v>
      </c>
      <c r="E535" t="s">
        <v>74</v>
      </c>
      <c r="F535" t="s">
        <v>8004</v>
      </c>
      <c r="G535" t="s">
        <v>74</v>
      </c>
      <c r="H535" t="s">
        <v>74</v>
      </c>
      <c r="I535" t="s">
        <v>8005</v>
      </c>
      <c r="J535" t="s">
        <v>7988</v>
      </c>
      <c r="K535" t="s">
        <v>74</v>
      </c>
      <c r="L535" t="s">
        <v>74</v>
      </c>
      <c r="M535" t="s">
        <v>77</v>
      </c>
      <c r="N535" t="s">
        <v>78</v>
      </c>
      <c r="O535" t="s">
        <v>74</v>
      </c>
      <c r="P535" t="s">
        <v>74</v>
      </c>
      <c r="Q535" t="s">
        <v>74</v>
      </c>
      <c r="R535" t="s">
        <v>74</v>
      </c>
      <c r="S535" t="s">
        <v>74</v>
      </c>
      <c r="T535" t="s">
        <v>8006</v>
      </c>
      <c r="U535" t="s">
        <v>8007</v>
      </c>
      <c r="V535" t="s">
        <v>8008</v>
      </c>
      <c r="W535" t="s">
        <v>8009</v>
      </c>
      <c r="X535" t="s">
        <v>8010</v>
      </c>
      <c r="Y535" t="s">
        <v>8011</v>
      </c>
      <c r="Z535" t="s">
        <v>8012</v>
      </c>
      <c r="AA535" t="s">
        <v>8013</v>
      </c>
      <c r="AB535" t="s">
        <v>8014</v>
      </c>
      <c r="AC535" t="s">
        <v>74</v>
      </c>
      <c r="AD535" t="s">
        <v>74</v>
      </c>
      <c r="AE535" t="s">
        <v>74</v>
      </c>
      <c r="AF535" t="s">
        <v>74</v>
      </c>
      <c r="AG535">
        <v>63</v>
      </c>
      <c r="AH535">
        <v>73</v>
      </c>
      <c r="AI535">
        <v>81</v>
      </c>
      <c r="AJ535">
        <v>5</v>
      </c>
      <c r="AK535">
        <v>54</v>
      </c>
      <c r="AL535" t="s">
        <v>472</v>
      </c>
      <c r="AM535" t="s">
        <v>473</v>
      </c>
      <c r="AN535" t="s">
        <v>474</v>
      </c>
      <c r="AO535" t="s">
        <v>7997</v>
      </c>
      <c r="AP535" t="s">
        <v>7998</v>
      </c>
      <c r="AQ535" t="s">
        <v>74</v>
      </c>
      <c r="AR535" t="s">
        <v>7999</v>
      </c>
      <c r="AS535" t="s">
        <v>8000</v>
      </c>
      <c r="AT535" t="s">
        <v>7383</v>
      </c>
      <c r="AU535">
        <v>2005</v>
      </c>
      <c r="AV535">
        <v>19</v>
      </c>
      <c r="AW535">
        <v>1</v>
      </c>
      <c r="AX535" t="s">
        <v>74</v>
      </c>
      <c r="AY535" t="s">
        <v>74</v>
      </c>
      <c r="AZ535" t="s">
        <v>74</v>
      </c>
      <c r="BA535" t="s">
        <v>74</v>
      </c>
      <c r="BB535">
        <v>129</v>
      </c>
      <c r="BC535">
        <v>135</v>
      </c>
      <c r="BD535" t="s">
        <v>74</v>
      </c>
      <c r="BE535" t="s">
        <v>8015</v>
      </c>
      <c r="BF535" t="str">
        <f>HYPERLINK("http://dx.doi.org/10.1111/j.0269-8463.2005.00945.x","http://dx.doi.org/10.1111/j.0269-8463.2005.00945.x")</f>
        <v>http://dx.doi.org/10.1111/j.0269-8463.2005.00945.x</v>
      </c>
      <c r="BG535" t="s">
        <v>74</v>
      </c>
      <c r="BH535" t="s">
        <v>74</v>
      </c>
      <c r="BI535">
        <v>7</v>
      </c>
      <c r="BJ535" t="s">
        <v>3248</v>
      </c>
      <c r="BK535" t="s">
        <v>95</v>
      </c>
      <c r="BL535" t="s">
        <v>219</v>
      </c>
      <c r="BM535" t="s">
        <v>8002</v>
      </c>
      <c r="BN535" t="s">
        <v>74</v>
      </c>
      <c r="BO535" t="s">
        <v>539</v>
      </c>
      <c r="BP535" t="s">
        <v>74</v>
      </c>
      <c r="BQ535" t="s">
        <v>74</v>
      </c>
      <c r="BR535" t="s">
        <v>97</v>
      </c>
      <c r="BS535" t="s">
        <v>8016</v>
      </c>
      <c r="BT535" t="str">
        <f>HYPERLINK("https%3A%2F%2Fwww.webofscience.com%2Fwos%2Fwoscc%2Ffull-record%2FWOS:000227672000017","View Full Record in Web of Science")</f>
        <v>View Full Record in Web of Science</v>
      </c>
    </row>
    <row r="536" spans="1:72" x14ac:dyDescent="0.15">
      <c r="A536" t="s">
        <v>72</v>
      </c>
      <c r="B536" t="s">
        <v>8017</v>
      </c>
      <c r="C536" t="s">
        <v>74</v>
      </c>
      <c r="D536" t="s">
        <v>74</v>
      </c>
      <c r="E536" t="s">
        <v>74</v>
      </c>
      <c r="F536" t="s">
        <v>8017</v>
      </c>
      <c r="G536" t="s">
        <v>74</v>
      </c>
      <c r="H536" t="s">
        <v>74</v>
      </c>
      <c r="I536" t="s">
        <v>8018</v>
      </c>
      <c r="J536" t="s">
        <v>2569</v>
      </c>
      <c r="K536" t="s">
        <v>74</v>
      </c>
      <c r="L536" t="s">
        <v>74</v>
      </c>
      <c r="M536" t="s">
        <v>77</v>
      </c>
      <c r="N536" t="s">
        <v>78</v>
      </c>
      <c r="O536" t="s">
        <v>74</v>
      </c>
      <c r="P536" t="s">
        <v>74</v>
      </c>
      <c r="Q536" t="s">
        <v>74</v>
      </c>
      <c r="R536" t="s">
        <v>74</v>
      </c>
      <c r="S536" t="s">
        <v>74</v>
      </c>
      <c r="T536" t="s">
        <v>74</v>
      </c>
      <c r="U536" t="s">
        <v>8019</v>
      </c>
      <c r="V536" t="s">
        <v>8020</v>
      </c>
      <c r="W536" t="s">
        <v>8021</v>
      </c>
      <c r="X536" t="s">
        <v>5794</v>
      </c>
      <c r="Y536" t="s">
        <v>8022</v>
      </c>
      <c r="Z536" t="s">
        <v>8023</v>
      </c>
      <c r="AA536" t="s">
        <v>74</v>
      </c>
      <c r="AB536" t="s">
        <v>74</v>
      </c>
      <c r="AC536" t="s">
        <v>74</v>
      </c>
      <c r="AD536" t="s">
        <v>74</v>
      </c>
      <c r="AE536" t="s">
        <v>74</v>
      </c>
      <c r="AF536" t="s">
        <v>74</v>
      </c>
      <c r="AG536">
        <v>33</v>
      </c>
      <c r="AH536">
        <v>34</v>
      </c>
      <c r="AI536">
        <v>34</v>
      </c>
      <c r="AJ536">
        <v>0</v>
      </c>
      <c r="AK536">
        <v>22</v>
      </c>
      <c r="AL536" t="s">
        <v>255</v>
      </c>
      <c r="AM536" t="s">
        <v>256</v>
      </c>
      <c r="AN536" t="s">
        <v>257</v>
      </c>
      <c r="AO536" t="s">
        <v>2578</v>
      </c>
      <c r="AP536" t="s">
        <v>74</v>
      </c>
      <c r="AQ536" t="s">
        <v>74</v>
      </c>
      <c r="AR536" t="s">
        <v>2579</v>
      </c>
      <c r="AS536" t="s">
        <v>2580</v>
      </c>
      <c r="AT536" t="s">
        <v>8024</v>
      </c>
      <c r="AU536">
        <v>2005</v>
      </c>
      <c r="AV536">
        <v>69</v>
      </c>
      <c r="AW536">
        <v>3</v>
      </c>
      <c r="AX536" t="s">
        <v>74</v>
      </c>
      <c r="AY536" t="s">
        <v>74</v>
      </c>
      <c r="AZ536" t="s">
        <v>74</v>
      </c>
      <c r="BA536" t="s">
        <v>74</v>
      </c>
      <c r="BB536">
        <v>529</v>
      </c>
      <c r="BC536">
        <v>539</v>
      </c>
      <c r="BD536" t="s">
        <v>74</v>
      </c>
      <c r="BE536" t="s">
        <v>8025</v>
      </c>
      <c r="BF536" t="str">
        <f>HYPERLINK("http://dx.doi.org/10.1016/j.gca.2004.07.007","http://dx.doi.org/10.1016/j.gca.2004.07.007")</f>
        <v>http://dx.doi.org/10.1016/j.gca.2004.07.007</v>
      </c>
      <c r="BG536" t="s">
        <v>74</v>
      </c>
      <c r="BH536" t="s">
        <v>74</v>
      </c>
      <c r="BI536">
        <v>11</v>
      </c>
      <c r="BJ536" t="s">
        <v>381</v>
      </c>
      <c r="BK536" t="s">
        <v>95</v>
      </c>
      <c r="BL536" t="s">
        <v>381</v>
      </c>
      <c r="BM536" t="s">
        <v>8026</v>
      </c>
      <c r="BN536" t="s">
        <v>74</v>
      </c>
      <c r="BO536" t="s">
        <v>74</v>
      </c>
      <c r="BP536" t="s">
        <v>74</v>
      </c>
      <c r="BQ536" t="s">
        <v>74</v>
      </c>
      <c r="BR536" t="s">
        <v>97</v>
      </c>
      <c r="BS536" t="s">
        <v>8027</v>
      </c>
      <c r="BT536" t="str">
        <f>HYPERLINK("https%3A%2F%2Fwww.webofscience.com%2Fwos%2Fwoscc%2Ffull-record%2FWOS:000226680300002","View Full Record in Web of Science")</f>
        <v>View Full Record in Web of Science</v>
      </c>
    </row>
    <row r="537" spans="1:72" x14ac:dyDescent="0.15">
      <c r="A537" t="s">
        <v>72</v>
      </c>
      <c r="B537" t="s">
        <v>8028</v>
      </c>
      <c r="C537" t="s">
        <v>74</v>
      </c>
      <c r="D537" t="s">
        <v>74</v>
      </c>
      <c r="E537" t="s">
        <v>74</v>
      </c>
      <c r="F537" t="s">
        <v>8028</v>
      </c>
      <c r="G537" t="s">
        <v>74</v>
      </c>
      <c r="H537" t="s">
        <v>74</v>
      </c>
      <c r="I537" t="s">
        <v>8029</v>
      </c>
      <c r="J537" t="s">
        <v>1621</v>
      </c>
      <c r="K537" t="s">
        <v>74</v>
      </c>
      <c r="L537" t="s">
        <v>74</v>
      </c>
      <c r="M537" t="s">
        <v>77</v>
      </c>
      <c r="N537" t="s">
        <v>78</v>
      </c>
      <c r="O537" t="s">
        <v>74</v>
      </c>
      <c r="P537" t="s">
        <v>74</v>
      </c>
      <c r="Q537" t="s">
        <v>74</v>
      </c>
      <c r="R537" t="s">
        <v>74</v>
      </c>
      <c r="S537" t="s">
        <v>74</v>
      </c>
      <c r="T537" t="s">
        <v>8030</v>
      </c>
      <c r="U537" t="s">
        <v>8031</v>
      </c>
      <c r="V537" t="s">
        <v>8032</v>
      </c>
      <c r="W537" t="s">
        <v>8033</v>
      </c>
      <c r="X537" t="s">
        <v>8034</v>
      </c>
      <c r="Y537" t="s">
        <v>8035</v>
      </c>
      <c r="Z537" t="s">
        <v>74</v>
      </c>
      <c r="AA537" t="s">
        <v>1483</v>
      </c>
      <c r="AB537" t="s">
        <v>1484</v>
      </c>
      <c r="AC537" t="s">
        <v>74</v>
      </c>
      <c r="AD537" t="s">
        <v>74</v>
      </c>
      <c r="AE537" t="s">
        <v>74</v>
      </c>
      <c r="AF537" t="s">
        <v>74</v>
      </c>
      <c r="AG537">
        <v>31</v>
      </c>
      <c r="AH537">
        <v>49</v>
      </c>
      <c r="AI537">
        <v>56</v>
      </c>
      <c r="AJ537">
        <v>0</v>
      </c>
      <c r="AK537">
        <v>6</v>
      </c>
      <c r="AL537" t="s">
        <v>1629</v>
      </c>
      <c r="AM537" t="s">
        <v>1630</v>
      </c>
      <c r="AN537" t="s">
        <v>1631</v>
      </c>
      <c r="AO537" t="s">
        <v>1632</v>
      </c>
      <c r="AP537" t="s">
        <v>1633</v>
      </c>
      <c r="AQ537" t="s">
        <v>74</v>
      </c>
      <c r="AR537" t="s">
        <v>1621</v>
      </c>
      <c r="AS537" t="s">
        <v>307</v>
      </c>
      <c r="AT537" t="s">
        <v>7383</v>
      </c>
      <c r="AU537">
        <v>2005</v>
      </c>
      <c r="AV537">
        <v>33</v>
      </c>
      <c r="AW537">
        <v>2</v>
      </c>
      <c r="AX537" t="s">
        <v>74</v>
      </c>
      <c r="AY537" t="s">
        <v>74</v>
      </c>
      <c r="AZ537" t="s">
        <v>74</v>
      </c>
      <c r="BA537" t="s">
        <v>74</v>
      </c>
      <c r="BB537">
        <v>137</v>
      </c>
      <c r="BC537">
        <v>140</v>
      </c>
      <c r="BD537" t="s">
        <v>74</v>
      </c>
      <c r="BE537" t="s">
        <v>8036</v>
      </c>
      <c r="BF537" t="str">
        <f>HYPERLINK("http://dx.doi.org/10.1130/G21013.1","http://dx.doi.org/10.1130/G21013.1")</f>
        <v>http://dx.doi.org/10.1130/G21013.1</v>
      </c>
      <c r="BG537" t="s">
        <v>74</v>
      </c>
      <c r="BH537" t="s">
        <v>74</v>
      </c>
      <c r="BI537">
        <v>4</v>
      </c>
      <c r="BJ537" t="s">
        <v>307</v>
      </c>
      <c r="BK537" t="s">
        <v>95</v>
      </c>
      <c r="BL537" t="s">
        <v>307</v>
      </c>
      <c r="BM537" t="s">
        <v>8037</v>
      </c>
      <c r="BN537" t="s">
        <v>74</v>
      </c>
      <c r="BO537" t="s">
        <v>74</v>
      </c>
      <c r="BP537" t="s">
        <v>74</v>
      </c>
      <c r="BQ537" t="s">
        <v>74</v>
      </c>
      <c r="BR537" t="s">
        <v>97</v>
      </c>
      <c r="BS537" t="s">
        <v>8038</v>
      </c>
      <c r="BT537" t="str">
        <f>HYPERLINK("https%3A%2F%2Fwww.webofscience.com%2Fwos%2Fwoscc%2Ffull-record%2FWOS:000226821100015","View Full Record in Web of Science")</f>
        <v>View Full Record in Web of Science</v>
      </c>
    </row>
    <row r="538" spans="1:72" x14ac:dyDescent="0.15">
      <c r="A538" t="s">
        <v>72</v>
      </c>
      <c r="B538" t="s">
        <v>8039</v>
      </c>
      <c r="C538" t="s">
        <v>74</v>
      </c>
      <c r="D538" t="s">
        <v>74</v>
      </c>
      <c r="E538" t="s">
        <v>74</v>
      </c>
      <c r="F538" t="s">
        <v>8039</v>
      </c>
      <c r="G538" t="s">
        <v>74</v>
      </c>
      <c r="H538" t="s">
        <v>74</v>
      </c>
      <c r="I538" t="s">
        <v>8040</v>
      </c>
      <c r="J538" t="s">
        <v>4017</v>
      </c>
      <c r="K538" t="s">
        <v>74</v>
      </c>
      <c r="L538" t="s">
        <v>74</v>
      </c>
      <c r="M538" t="s">
        <v>77</v>
      </c>
      <c r="N538" t="s">
        <v>78</v>
      </c>
      <c r="O538" t="s">
        <v>74</v>
      </c>
      <c r="P538" t="s">
        <v>74</v>
      </c>
      <c r="Q538" t="s">
        <v>74</v>
      </c>
      <c r="R538" t="s">
        <v>74</v>
      </c>
      <c r="S538" t="s">
        <v>74</v>
      </c>
      <c r="T538" t="s">
        <v>8041</v>
      </c>
      <c r="U538" t="s">
        <v>8042</v>
      </c>
      <c r="V538" t="s">
        <v>8043</v>
      </c>
      <c r="W538" t="s">
        <v>8044</v>
      </c>
      <c r="X538" t="s">
        <v>8045</v>
      </c>
      <c r="Y538" t="s">
        <v>8046</v>
      </c>
      <c r="Z538" t="s">
        <v>8047</v>
      </c>
      <c r="AA538" t="s">
        <v>74</v>
      </c>
      <c r="AB538" t="s">
        <v>74</v>
      </c>
      <c r="AC538" t="s">
        <v>74</v>
      </c>
      <c r="AD538" t="s">
        <v>74</v>
      </c>
      <c r="AE538" t="s">
        <v>74</v>
      </c>
      <c r="AF538" t="s">
        <v>74</v>
      </c>
      <c r="AG538">
        <v>54</v>
      </c>
      <c r="AH538">
        <v>35</v>
      </c>
      <c r="AI538">
        <v>36</v>
      </c>
      <c r="AJ538">
        <v>0</v>
      </c>
      <c r="AK538">
        <v>5</v>
      </c>
      <c r="AL538" t="s">
        <v>435</v>
      </c>
      <c r="AM538" t="s">
        <v>436</v>
      </c>
      <c r="AN538" t="s">
        <v>437</v>
      </c>
      <c r="AO538" t="s">
        <v>4026</v>
      </c>
      <c r="AP538" t="s">
        <v>4027</v>
      </c>
      <c r="AQ538" t="s">
        <v>74</v>
      </c>
      <c r="AR538" t="s">
        <v>4017</v>
      </c>
      <c r="AS538" t="s">
        <v>4028</v>
      </c>
      <c r="AT538" t="s">
        <v>8024</v>
      </c>
      <c r="AU538">
        <v>2005</v>
      </c>
      <c r="AV538">
        <v>65</v>
      </c>
      <c r="AW538" t="s">
        <v>442</v>
      </c>
      <c r="AX538" t="s">
        <v>74</v>
      </c>
      <c r="AY538" t="s">
        <v>74</v>
      </c>
      <c r="AZ538" t="s">
        <v>74</v>
      </c>
      <c r="BA538" t="s">
        <v>74</v>
      </c>
      <c r="BB538">
        <v>117</v>
      </c>
      <c r="BC538">
        <v>138</v>
      </c>
      <c r="BD538" t="s">
        <v>74</v>
      </c>
      <c r="BE538" t="s">
        <v>8048</v>
      </c>
      <c r="BF538" t="str">
        <f>HYPERLINK("http://dx.doi.org/10.1016/j.geomorph.2004.08.004","http://dx.doi.org/10.1016/j.geomorph.2004.08.004")</f>
        <v>http://dx.doi.org/10.1016/j.geomorph.2004.08.004</v>
      </c>
      <c r="BG538" t="s">
        <v>74</v>
      </c>
      <c r="BH538" t="s">
        <v>74</v>
      </c>
      <c r="BI538">
        <v>22</v>
      </c>
      <c r="BJ538" t="s">
        <v>242</v>
      </c>
      <c r="BK538" t="s">
        <v>95</v>
      </c>
      <c r="BL538" t="s">
        <v>243</v>
      </c>
      <c r="BM538" t="s">
        <v>8049</v>
      </c>
      <c r="BN538" t="s">
        <v>74</v>
      </c>
      <c r="BO538" t="s">
        <v>74</v>
      </c>
      <c r="BP538" t="s">
        <v>74</v>
      </c>
      <c r="BQ538" t="s">
        <v>74</v>
      </c>
      <c r="BR538" t="s">
        <v>97</v>
      </c>
      <c r="BS538" t="s">
        <v>8050</v>
      </c>
      <c r="BT538" t="str">
        <f>HYPERLINK("https%3A%2F%2Fwww.webofscience.com%2Fwos%2Fwoscc%2Ffull-record%2FWOS:000227294100008","View Full Record in Web of Science")</f>
        <v>View Full Record in Web of Science</v>
      </c>
    </row>
    <row r="539" spans="1:72" x14ac:dyDescent="0.15">
      <c r="A539" t="s">
        <v>72</v>
      </c>
      <c r="B539" t="s">
        <v>8051</v>
      </c>
      <c r="C539" t="s">
        <v>74</v>
      </c>
      <c r="D539" t="s">
        <v>74</v>
      </c>
      <c r="E539" t="s">
        <v>74</v>
      </c>
      <c r="F539" t="s">
        <v>8051</v>
      </c>
      <c r="G539" t="s">
        <v>74</v>
      </c>
      <c r="H539" t="s">
        <v>74</v>
      </c>
      <c r="I539" t="s">
        <v>8052</v>
      </c>
      <c r="J539" t="s">
        <v>519</v>
      </c>
      <c r="K539" t="s">
        <v>74</v>
      </c>
      <c r="L539" t="s">
        <v>74</v>
      </c>
      <c r="M539" t="s">
        <v>77</v>
      </c>
      <c r="N539" t="s">
        <v>78</v>
      </c>
      <c r="O539" t="s">
        <v>74</v>
      </c>
      <c r="P539" t="s">
        <v>74</v>
      </c>
      <c r="Q539" t="s">
        <v>74</v>
      </c>
      <c r="R539" t="s">
        <v>74</v>
      </c>
      <c r="S539" t="s">
        <v>74</v>
      </c>
      <c r="T539" t="s">
        <v>74</v>
      </c>
      <c r="U539" t="s">
        <v>8053</v>
      </c>
      <c r="V539" t="s">
        <v>8054</v>
      </c>
      <c r="W539" t="s">
        <v>8055</v>
      </c>
      <c r="X539" t="s">
        <v>8056</v>
      </c>
      <c r="Y539" t="s">
        <v>8057</v>
      </c>
      <c r="Z539" t="s">
        <v>8058</v>
      </c>
      <c r="AA539" t="s">
        <v>8059</v>
      </c>
      <c r="AB539" t="s">
        <v>8060</v>
      </c>
      <c r="AC539" t="s">
        <v>74</v>
      </c>
      <c r="AD539" t="s">
        <v>74</v>
      </c>
      <c r="AE539" t="s">
        <v>74</v>
      </c>
      <c r="AF539" t="s">
        <v>74</v>
      </c>
      <c r="AG539">
        <v>20</v>
      </c>
      <c r="AH539">
        <v>40</v>
      </c>
      <c r="AI539">
        <v>43</v>
      </c>
      <c r="AJ539">
        <v>0</v>
      </c>
      <c r="AK539">
        <v>11</v>
      </c>
      <c r="AL539" t="s">
        <v>527</v>
      </c>
      <c r="AM539" t="s">
        <v>528</v>
      </c>
      <c r="AN539" t="s">
        <v>529</v>
      </c>
      <c r="AO539" t="s">
        <v>530</v>
      </c>
      <c r="AP539" t="s">
        <v>531</v>
      </c>
      <c r="AQ539" t="s">
        <v>74</v>
      </c>
      <c r="AR539" t="s">
        <v>532</v>
      </c>
      <c r="AS539" t="s">
        <v>533</v>
      </c>
      <c r="AT539" t="s">
        <v>8024</v>
      </c>
      <c r="AU539">
        <v>2005</v>
      </c>
      <c r="AV539">
        <v>32</v>
      </c>
      <c r="AW539">
        <v>3</v>
      </c>
      <c r="AX539" t="s">
        <v>74</v>
      </c>
      <c r="AY539" t="s">
        <v>74</v>
      </c>
      <c r="AZ539" t="s">
        <v>74</v>
      </c>
      <c r="BA539" t="s">
        <v>74</v>
      </c>
      <c r="BB539" t="s">
        <v>74</v>
      </c>
      <c r="BC539" t="s">
        <v>74</v>
      </c>
      <c r="BD539" t="s">
        <v>8061</v>
      </c>
      <c r="BE539" t="s">
        <v>8062</v>
      </c>
      <c r="BF539" t="str">
        <f>HYPERLINK("http://dx.doi.org/10.1029/2004GL021586","http://dx.doi.org/10.1029/2004GL021586")</f>
        <v>http://dx.doi.org/10.1029/2004GL021586</v>
      </c>
      <c r="BG539" t="s">
        <v>74</v>
      </c>
      <c r="BH539" t="s">
        <v>74</v>
      </c>
      <c r="BI539">
        <v>4</v>
      </c>
      <c r="BJ539" t="s">
        <v>537</v>
      </c>
      <c r="BK539" t="s">
        <v>95</v>
      </c>
      <c r="BL539" t="s">
        <v>307</v>
      </c>
      <c r="BM539" t="s">
        <v>8063</v>
      </c>
      <c r="BN539" t="s">
        <v>74</v>
      </c>
      <c r="BO539" t="s">
        <v>7638</v>
      </c>
      <c r="BP539" t="s">
        <v>74</v>
      </c>
      <c r="BQ539" t="s">
        <v>74</v>
      </c>
      <c r="BR539" t="s">
        <v>97</v>
      </c>
      <c r="BS539" t="s">
        <v>8064</v>
      </c>
      <c r="BT539" t="str">
        <f>HYPERLINK("https%3A%2F%2Fwww.webofscience.com%2Fwos%2Fwoscc%2Ffull-record%2FWOS:000226900800004","View Full Record in Web of Science")</f>
        <v>View Full Record in Web of Science</v>
      </c>
    </row>
    <row r="540" spans="1:72" x14ac:dyDescent="0.15">
      <c r="A540" t="s">
        <v>72</v>
      </c>
      <c r="B540" t="s">
        <v>8065</v>
      </c>
      <c r="C540" t="s">
        <v>74</v>
      </c>
      <c r="D540" t="s">
        <v>74</v>
      </c>
      <c r="E540" t="s">
        <v>74</v>
      </c>
      <c r="F540" t="s">
        <v>8065</v>
      </c>
      <c r="G540" t="s">
        <v>74</v>
      </c>
      <c r="H540" t="s">
        <v>74</v>
      </c>
      <c r="I540" t="s">
        <v>8066</v>
      </c>
      <c r="J540" t="s">
        <v>3385</v>
      </c>
      <c r="K540" t="s">
        <v>74</v>
      </c>
      <c r="L540" t="s">
        <v>74</v>
      </c>
      <c r="M540" t="s">
        <v>77</v>
      </c>
      <c r="N540" t="s">
        <v>495</v>
      </c>
      <c r="O540" t="s">
        <v>6243</v>
      </c>
      <c r="P540" t="s">
        <v>5178</v>
      </c>
      <c r="Q540" t="s">
        <v>5179</v>
      </c>
      <c r="R540" t="s">
        <v>74</v>
      </c>
      <c r="S540" t="s">
        <v>74</v>
      </c>
      <c r="T540" t="s">
        <v>8067</v>
      </c>
      <c r="U540" t="s">
        <v>8068</v>
      </c>
      <c r="V540" t="s">
        <v>8069</v>
      </c>
      <c r="W540" t="s">
        <v>8070</v>
      </c>
      <c r="X540" t="s">
        <v>8071</v>
      </c>
      <c r="Y540" t="s">
        <v>8072</v>
      </c>
      <c r="Z540" t="s">
        <v>8073</v>
      </c>
      <c r="AA540" t="s">
        <v>74</v>
      </c>
      <c r="AB540" t="s">
        <v>74</v>
      </c>
      <c r="AC540" t="s">
        <v>74</v>
      </c>
      <c r="AD540" t="s">
        <v>74</v>
      </c>
      <c r="AE540" t="s">
        <v>74</v>
      </c>
      <c r="AF540" t="s">
        <v>74</v>
      </c>
      <c r="AG540">
        <v>57</v>
      </c>
      <c r="AH540">
        <v>128</v>
      </c>
      <c r="AI540">
        <v>148</v>
      </c>
      <c r="AJ540">
        <v>1</v>
      </c>
      <c r="AK540">
        <v>28</v>
      </c>
      <c r="AL540" t="s">
        <v>435</v>
      </c>
      <c r="AM540" t="s">
        <v>436</v>
      </c>
      <c r="AN540" t="s">
        <v>437</v>
      </c>
      <c r="AO540" t="s">
        <v>3395</v>
      </c>
      <c r="AP540" t="s">
        <v>8074</v>
      </c>
      <c r="AQ540" t="s">
        <v>74</v>
      </c>
      <c r="AR540" t="s">
        <v>3396</v>
      </c>
      <c r="AS540" t="s">
        <v>3397</v>
      </c>
      <c r="AT540" t="s">
        <v>7383</v>
      </c>
      <c r="AU540">
        <v>2005</v>
      </c>
      <c r="AV540">
        <v>45</v>
      </c>
      <c r="AW540" t="s">
        <v>8075</v>
      </c>
      <c r="AX540" t="s">
        <v>74</v>
      </c>
      <c r="AY540" t="s">
        <v>74</v>
      </c>
      <c r="AZ540" t="s">
        <v>74</v>
      </c>
      <c r="BA540" t="s">
        <v>74</v>
      </c>
      <c r="BB540">
        <v>9</v>
      </c>
      <c r="BC540">
        <v>21</v>
      </c>
      <c r="BD540" t="s">
        <v>74</v>
      </c>
      <c r="BE540" t="s">
        <v>8076</v>
      </c>
      <c r="BF540" t="str">
        <f>HYPERLINK("http://dx.doi.org/10.1016/j.gloplacha.2004.09.011","http://dx.doi.org/10.1016/j.gloplacha.2004.09.011")</f>
        <v>http://dx.doi.org/10.1016/j.gloplacha.2004.09.011</v>
      </c>
      <c r="BG540" t="s">
        <v>74</v>
      </c>
      <c r="BH540" t="s">
        <v>74</v>
      </c>
      <c r="BI540">
        <v>13</v>
      </c>
      <c r="BJ540" t="s">
        <v>242</v>
      </c>
      <c r="BK540" t="s">
        <v>514</v>
      </c>
      <c r="BL540" t="s">
        <v>243</v>
      </c>
      <c r="BM540" t="s">
        <v>8077</v>
      </c>
      <c r="BN540" t="s">
        <v>74</v>
      </c>
      <c r="BO540" t="s">
        <v>74</v>
      </c>
      <c r="BP540" t="s">
        <v>74</v>
      </c>
      <c r="BQ540" t="s">
        <v>74</v>
      </c>
      <c r="BR540" t="s">
        <v>97</v>
      </c>
      <c r="BS540" t="s">
        <v>8078</v>
      </c>
      <c r="BT540" t="str">
        <f>HYPERLINK("https%3A%2F%2Fwww.webofscience.com%2Fwos%2Fwoscc%2Ffull-record%2FWOS:000227977000002","View Full Record in Web of Science")</f>
        <v>View Full Record in Web of Science</v>
      </c>
    </row>
    <row r="541" spans="1:72" x14ac:dyDescent="0.15">
      <c r="A541" t="s">
        <v>72</v>
      </c>
      <c r="B541" t="s">
        <v>8079</v>
      </c>
      <c r="C541" t="s">
        <v>74</v>
      </c>
      <c r="D541" t="s">
        <v>74</v>
      </c>
      <c r="E541" t="s">
        <v>74</v>
      </c>
      <c r="F541" t="s">
        <v>8079</v>
      </c>
      <c r="G541" t="s">
        <v>74</v>
      </c>
      <c r="H541" t="s">
        <v>74</v>
      </c>
      <c r="I541" t="s">
        <v>8080</v>
      </c>
      <c r="J541" t="s">
        <v>3385</v>
      </c>
      <c r="K541" t="s">
        <v>74</v>
      </c>
      <c r="L541" t="s">
        <v>74</v>
      </c>
      <c r="M541" t="s">
        <v>77</v>
      </c>
      <c r="N541" t="s">
        <v>495</v>
      </c>
      <c r="O541" t="s">
        <v>6243</v>
      </c>
      <c r="P541" t="s">
        <v>5178</v>
      </c>
      <c r="Q541" t="s">
        <v>5179</v>
      </c>
      <c r="R541" t="s">
        <v>74</v>
      </c>
      <c r="S541" t="s">
        <v>74</v>
      </c>
      <c r="T541" t="s">
        <v>8081</v>
      </c>
      <c r="U541" t="s">
        <v>8082</v>
      </c>
      <c r="V541" t="s">
        <v>8083</v>
      </c>
      <c r="W541" t="s">
        <v>8084</v>
      </c>
      <c r="X541" t="s">
        <v>8085</v>
      </c>
      <c r="Y541" t="s">
        <v>8086</v>
      </c>
      <c r="Z541" t="s">
        <v>8087</v>
      </c>
      <c r="AA541" t="s">
        <v>8088</v>
      </c>
      <c r="AB541" t="s">
        <v>8089</v>
      </c>
      <c r="AC541" t="s">
        <v>74</v>
      </c>
      <c r="AD541" t="s">
        <v>74</v>
      </c>
      <c r="AE541" t="s">
        <v>74</v>
      </c>
      <c r="AF541" t="s">
        <v>74</v>
      </c>
      <c r="AG541">
        <v>26</v>
      </c>
      <c r="AH541">
        <v>31</v>
      </c>
      <c r="AI541">
        <v>38</v>
      </c>
      <c r="AJ541">
        <v>0</v>
      </c>
      <c r="AK541">
        <v>9</v>
      </c>
      <c r="AL541" t="s">
        <v>456</v>
      </c>
      <c r="AM541" t="s">
        <v>436</v>
      </c>
      <c r="AN541" t="s">
        <v>457</v>
      </c>
      <c r="AO541" t="s">
        <v>3395</v>
      </c>
      <c r="AP541" t="s">
        <v>74</v>
      </c>
      <c r="AQ541" t="s">
        <v>74</v>
      </c>
      <c r="AR541" t="s">
        <v>3396</v>
      </c>
      <c r="AS541" t="s">
        <v>3397</v>
      </c>
      <c r="AT541" t="s">
        <v>7383</v>
      </c>
      <c r="AU541">
        <v>2005</v>
      </c>
      <c r="AV541">
        <v>45</v>
      </c>
      <c r="AW541" t="s">
        <v>8075</v>
      </c>
      <c r="AX541" t="s">
        <v>74</v>
      </c>
      <c r="AY541" t="s">
        <v>74</v>
      </c>
      <c r="AZ541" t="s">
        <v>74</v>
      </c>
      <c r="BA541" t="s">
        <v>74</v>
      </c>
      <c r="BB541">
        <v>23</v>
      </c>
      <c r="BC541">
        <v>33</v>
      </c>
      <c r="BD541" t="s">
        <v>74</v>
      </c>
      <c r="BE541" t="s">
        <v>8090</v>
      </c>
      <c r="BF541" t="str">
        <f>HYPERLINK("http://dx.doi.org/10.1016/j.gloplacha.2004.09.005","http://dx.doi.org/10.1016/j.gloplacha.2004.09.005")</f>
        <v>http://dx.doi.org/10.1016/j.gloplacha.2004.09.005</v>
      </c>
      <c r="BG541" t="s">
        <v>74</v>
      </c>
      <c r="BH541" t="s">
        <v>74</v>
      </c>
      <c r="BI541">
        <v>11</v>
      </c>
      <c r="BJ541" t="s">
        <v>242</v>
      </c>
      <c r="BK541" t="s">
        <v>514</v>
      </c>
      <c r="BL541" t="s">
        <v>243</v>
      </c>
      <c r="BM541" t="s">
        <v>8077</v>
      </c>
      <c r="BN541" t="s">
        <v>74</v>
      </c>
      <c r="BO541" t="s">
        <v>74</v>
      </c>
      <c r="BP541" t="s">
        <v>74</v>
      </c>
      <c r="BQ541" t="s">
        <v>74</v>
      </c>
      <c r="BR541" t="s">
        <v>97</v>
      </c>
      <c r="BS541" t="s">
        <v>8091</v>
      </c>
      <c r="BT541" t="str">
        <f>HYPERLINK("https%3A%2F%2Fwww.webofscience.com%2Fwos%2Fwoscc%2Ffull-record%2FWOS:000227977000003","View Full Record in Web of Science")</f>
        <v>View Full Record in Web of Science</v>
      </c>
    </row>
    <row r="542" spans="1:72" x14ac:dyDescent="0.15">
      <c r="A542" t="s">
        <v>72</v>
      </c>
      <c r="B542" t="s">
        <v>8092</v>
      </c>
      <c r="C542" t="s">
        <v>74</v>
      </c>
      <c r="D542" t="s">
        <v>74</v>
      </c>
      <c r="E542" t="s">
        <v>74</v>
      </c>
      <c r="F542" t="s">
        <v>8092</v>
      </c>
      <c r="G542" t="s">
        <v>74</v>
      </c>
      <c r="H542" t="s">
        <v>74</v>
      </c>
      <c r="I542" t="s">
        <v>8093</v>
      </c>
      <c r="J542" t="s">
        <v>3385</v>
      </c>
      <c r="K542" t="s">
        <v>74</v>
      </c>
      <c r="L542" t="s">
        <v>74</v>
      </c>
      <c r="M542" t="s">
        <v>77</v>
      </c>
      <c r="N542" t="s">
        <v>495</v>
      </c>
      <c r="O542" t="s">
        <v>6243</v>
      </c>
      <c r="P542" t="s">
        <v>5178</v>
      </c>
      <c r="Q542" t="s">
        <v>5179</v>
      </c>
      <c r="R542" t="s">
        <v>74</v>
      </c>
      <c r="S542" t="s">
        <v>74</v>
      </c>
      <c r="T542" t="s">
        <v>8094</v>
      </c>
      <c r="U542" t="s">
        <v>8095</v>
      </c>
      <c r="V542" t="s">
        <v>8096</v>
      </c>
      <c r="W542" t="s">
        <v>8097</v>
      </c>
      <c r="X542" t="s">
        <v>8098</v>
      </c>
      <c r="Y542" t="s">
        <v>4023</v>
      </c>
      <c r="Z542" t="s">
        <v>8099</v>
      </c>
      <c r="AA542" t="s">
        <v>8100</v>
      </c>
      <c r="AB542" t="s">
        <v>8101</v>
      </c>
      <c r="AC542" t="s">
        <v>74</v>
      </c>
      <c r="AD542" t="s">
        <v>74</v>
      </c>
      <c r="AE542" t="s">
        <v>74</v>
      </c>
      <c r="AF542" t="s">
        <v>74</v>
      </c>
      <c r="AG542">
        <v>48</v>
      </c>
      <c r="AH542">
        <v>60</v>
      </c>
      <c r="AI542">
        <v>62</v>
      </c>
      <c r="AJ542">
        <v>0</v>
      </c>
      <c r="AK542">
        <v>7</v>
      </c>
      <c r="AL542" t="s">
        <v>456</v>
      </c>
      <c r="AM542" t="s">
        <v>436</v>
      </c>
      <c r="AN542" t="s">
        <v>457</v>
      </c>
      <c r="AO542" t="s">
        <v>3395</v>
      </c>
      <c r="AP542" t="s">
        <v>8074</v>
      </c>
      <c r="AQ542" t="s">
        <v>74</v>
      </c>
      <c r="AR542" t="s">
        <v>3396</v>
      </c>
      <c r="AS542" t="s">
        <v>3397</v>
      </c>
      <c r="AT542" t="s">
        <v>7383</v>
      </c>
      <c r="AU542">
        <v>2005</v>
      </c>
      <c r="AV542">
        <v>45</v>
      </c>
      <c r="AW542" t="s">
        <v>8075</v>
      </c>
      <c r="AX542" t="s">
        <v>74</v>
      </c>
      <c r="AY542" t="s">
        <v>74</v>
      </c>
      <c r="AZ542" t="s">
        <v>74</v>
      </c>
      <c r="BA542" t="s">
        <v>74</v>
      </c>
      <c r="BB542">
        <v>35</v>
      </c>
      <c r="BC542">
        <v>49</v>
      </c>
      <c r="BD542" t="s">
        <v>74</v>
      </c>
      <c r="BE542" t="s">
        <v>8102</v>
      </c>
      <c r="BF542" t="str">
        <f>HYPERLINK("http://dx.doi.org/10.1016/j.gloplacha.2004.09.015","http://dx.doi.org/10.1016/j.gloplacha.2004.09.015")</f>
        <v>http://dx.doi.org/10.1016/j.gloplacha.2004.09.015</v>
      </c>
      <c r="BG542" t="s">
        <v>74</v>
      </c>
      <c r="BH542" t="s">
        <v>74</v>
      </c>
      <c r="BI542">
        <v>15</v>
      </c>
      <c r="BJ542" t="s">
        <v>242</v>
      </c>
      <c r="BK542" t="s">
        <v>514</v>
      </c>
      <c r="BL542" t="s">
        <v>243</v>
      </c>
      <c r="BM542" t="s">
        <v>8077</v>
      </c>
      <c r="BN542" t="s">
        <v>74</v>
      </c>
      <c r="BO542" t="s">
        <v>74</v>
      </c>
      <c r="BP542" t="s">
        <v>74</v>
      </c>
      <c r="BQ542" t="s">
        <v>74</v>
      </c>
      <c r="BR542" t="s">
        <v>97</v>
      </c>
      <c r="BS542" t="s">
        <v>8103</v>
      </c>
      <c r="BT542" t="str">
        <f>HYPERLINK("https%3A%2F%2Fwww.webofscience.com%2Fwos%2Fwoscc%2Ffull-record%2FWOS:000227977000004","View Full Record in Web of Science")</f>
        <v>View Full Record in Web of Science</v>
      </c>
    </row>
    <row r="543" spans="1:72" x14ac:dyDescent="0.15">
      <c r="A543" t="s">
        <v>72</v>
      </c>
      <c r="B543" t="s">
        <v>8104</v>
      </c>
      <c r="C543" t="s">
        <v>74</v>
      </c>
      <c r="D543" t="s">
        <v>74</v>
      </c>
      <c r="E543" t="s">
        <v>74</v>
      </c>
      <c r="F543" t="s">
        <v>8104</v>
      </c>
      <c r="G543" t="s">
        <v>74</v>
      </c>
      <c r="H543" t="s">
        <v>74</v>
      </c>
      <c r="I543" t="s">
        <v>8105</v>
      </c>
      <c r="J543" t="s">
        <v>3385</v>
      </c>
      <c r="K543" t="s">
        <v>74</v>
      </c>
      <c r="L543" t="s">
        <v>74</v>
      </c>
      <c r="M543" t="s">
        <v>77</v>
      </c>
      <c r="N543" t="s">
        <v>495</v>
      </c>
      <c r="O543" t="s">
        <v>6243</v>
      </c>
      <c r="P543" t="s">
        <v>5178</v>
      </c>
      <c r="Q543" t="s">
        <v>5179</v>
      </c>
      <c r="R543" t="s">
        <v>74</v>
      </c>
      <c r="S543" t="s">
        <v>74</v>
      </c>
      <c r="T543" t="s">
        <v>8106</v>
      </c>
      <c r="U543" t="s">
        <v>8107</v>
      </c>
      <c r="V543" t="s">
        <v>8108</v>
      </c>
      <c r="W543" t="s">
        <v>8109</v>
      </c>
      <c r="X543" t="s">
        <v>8110</v>
      </c>
      <c r="Y543" t="s">
        <v>8111</v>
      </c>
      <c r="Z543" t="s">
        <v>8112</v>
      </c>
      <c r="AA543" t="s">
        <v>8113</v>
      </c>
      <c r="AB543" t="s">
        <v>8114</v>
      </c>
      <c r="AC543" t="s">
        <v>74</v>
      </c>
      <c r="AD543" t="s">
        <v>74</v>
      </c>
      <c r="AE543" t="s">
        <v>74</v>
      </c>
      <c r="AF543" t="s">
        <v>74</v>
      </c>
      <c r="AG543">
        <v>84</v>
      </c>
      <c r="AH543">
        <v>62</v>
      </c>
      <c r="AI543">
        <v>70</v>
      </c>
      <c r="AJ543">
        <v>1</v>
      </c>
      <c r="AK543">
        <v>17</v>
      </c>
      <c r="AL543" t="s">
        <v>435</v>
      </c>
      <c r="AM543" t="s">
        <v>436</v>
      </c>
      <c r="AN543" t="s">
        <v>437</v>
      </c>
      <c r="AO543" t="s">
        <v>3395</v>
      </c>
      <c r="AP543" t="s">
        <v>8074</v>
      </c>
      <c r="AQ543" t="s">
        <v>74</v>
      </c>
      <c r="AR543" t="s">
        <v>3396</v>
      </c>
      <c r="AS543" t="s">
        <v>3397</v>
      </c>
      <c r="AT543" t="s">
        <v>7383</v>
      </c>
      <c r="AU543">
        <v>2005</v>
      </c>
      <c r="AV543">
        <v>45</v>
      </c>
      <c r="AW543" t="s">
        <v>8075</v>
      </c>
      <c r="AX543" t="s">
        <v>74</v>
      </c>
      <c r="AY543" t="s">
        <v>74</v>
      </c>
      <c r="AZ543" t="s">
        <v>74</v>
      </c>
      <c r="BA543" t="s">
        <v>74</v>
      </c>
      <c r="BB543">
        <v>51</v>
      </c>
      <c r="BC543">
        <v>81</v>
      </c>
      <c r="BD543" t="s">
        <v>74</v>
      </c>
      <c r="BE543" t="s">
        <v>8115</v>
      </c>
      <c r="BF543" t="str">
        <f>HYPERLINK("http://dx.doi.org/10.1016/j.gloplacha.2004.09.010","http://dx.doi.org/10.1016/j.gloplacha.2004.09.010")</f>
        <v>http://dx.doi.org/10.1016/j.gloplacha.2004.09.010</v>
      </c>
      <c r="BG543" t="s">
        <v>74</v>
      </c>
      <c r="BH543" t="s">
        <v>74</v>
      </c>
      <c r="BI543">
        <v>31</v>
      </c>
      <c r="BJ543" t="s">
        <v>242</v>
      </c>
      <c r="BK543" t="s">
        <v>514</v>
      </c>
      <c r="BL543" t="s">
        <v>243</v>
      </c>
      <c r="BM543" t="s">
        <v>8077</v>
      </c>
      <c r="BN543" t="s">
        <v>74</v>
      </c>
      <c r="BO543" t="s">
        <v>74</v>
      </c>
      <c r="BP543" t="s">
        <v>74</v>
      </c>
      <c r="BQ543" t="s">
        <v>74</v>
      </c>
      <c r="BR543" t="s">
        <v>97</v>
      </c>
      <c r="BS543" t="s">
        <v>8116</v>
      </c>
      <c r="BT543" t="str">
        <f>HYPERLINK("https%3A%2F%2Fwww.webofscience.com%2Fwos%2Fwoscc%2Ffull-record%2FWOS:000227977000005","View Full Record in Web of Science")</f>
        <v>View Full Record in Web of Science</v>
      </c>
    </row>
    <row r="544" spans="1:72" x14ac:dyDescent="0.15">
      <c r="A544" t="s">
        <v>72</v>
      </c>
      <c r="B544" t="s">
        <v>8117</v>
      </c>
      <c r="C544" t="s">
        <v>74</v>
      </c>
      <c r="D544" t="s">
        <v>74</v>
      </c>
      <c r="E544" t="s">
        <v>74</v>
      </c>
      <c r="F544" t="s">
        <v>8117</v>
      </c>
      <c r="G544" t="s">
        <v>74</v>
      </c>
      <c r="H544" t="s">
        <v>74</v>
      </c>
      <c r="I544" t="s">
        <v>8118</v>
      </c>
      <c r="J544" t="s">
        <v>3385</v>
      </c>
      <c r="K544" t="s">
        <v>74</v>
      </c>
      <c r="L544" t="s">
        <v>74</v>
      </c>
      <c r="M544" t="s">
        <v>77</v>
      </c>
      <c r="N544" t="s">
        <v>495</v>
      </c>
      <c r="O544" t="s">
        <v>6243</v>
      </c>
      <c r="P544" t="s">
        <v>5178</v>
      </c>
      <c r="Q544" t="s">
        <v>5179</v>
      </c>
      <c r="R544" t="s">
        <v>74</v>
      </c>
      <c r="S544" t="s">
        <v>74</v>
      </c>
      <c r="T544" t="s">
        <v>8119</v>
      </c>
      <c r="U544" t="s">
        <v>8120</v>
      </c>
      <c r="V544" t="s">
        <v>8121</v>
      </c>
      <c r="W544" t="s">
        <v>8122</v>
      </c>
      <c r="X544" t="s">
        <v>8123</v>
      </c>
      <c r="Y544" t="s">
        <v>8124</v>
      </c>
      <c r="Z544" t="s">
        <v>8125</v>
      </c>
      <c r="AA544" t="s">
        <v>8126</v>
      </c>
      <c r="AB544" t="s">
        <v>8127</v>
      </c>
      <c r="AC544" t="s">
        <v>74</v>
      </c>
      <c r="AD544" t="s">
        <v>74</v>
      </c>
      <c r="AE544" t="s">
        <v>74</v>
      </c>
      <c r="AF544" t="s">
        <v>74</v>
      </c>
      <c r="AG544">
        <v>42</v>
      </c>
      <c r="AH544">
        <v>44</v>
      </c>
      <c r="AI544">
        <v>54</v>
      </c>
      <c r="AJ544">
        <v>0</v>
      </c>
      <c r="AK544">
        <v>8</v>
      </c>
      <c r="AL544" t="s">
        <v>435</v>
      </c>
      <c r="AM544" t="s">
        <v>436</v>
      </c>
      <c r="AN544" t="s">
        <v>437</v>
      </c>
      <c r="AO544" t="s">
        <v>3395</v>
      </c>
      <c r="AP544" t="s">
        <v>8074</v>
      </c>
      <c r="AQ544" t="s">
        <v>74</v>
      </c>
      <c r="AR544" t="s">
        <v>3396</v>
      </c>
      <c r="AS544" t="s">
        <v>3397</v>
      </c>
      <c r="AT544" t="s">
        <v>7383</v>
      </c>
      <c r="AU544">
        <v>2005</v>
      </c>
      <c r="AV544">
        <v>45</v>
      </c>
      <c r="AW544" t="s">
        <v>8075</v>
      </c>
      <c r="AX544" t="s">
        <v>74</v>
      </c>
      <c r="AY544" t="s">
        <v>74</v>
      </c>
      <c r="AZ544" t="s">
        <v>74</v>
      </c>
      <c r="BA544" t="s">
        <v>74</v>
      </c>
      <c r="BB544">
        <v>83</v>
      </c>
      <c r="BC544">
        <v>97</v>
      </c>
      <c r="BD544" t="s">
        <v>74</v>
      </c>
      <c r="BE544" t="s">
        <v>8128</v>
      </c>
      <c r="BF544" t="str">
        <f>HYPERLINK("http://dx.doi.org/10.1016/j.gloplacha.2004.09.014","http://dx.doi.org/10.1016/j.gloplacha.2004.09.014")</f>
        <v>http://dx.doi.org/10.1016/j.gloplacha.2004.09.014</v>
      </c>
      <c r="BG544" t="s">
        <v>74</v>
      </c>
      <c r="BH544" t="s">
        <v>74</v>
      </c>
      <c r="BI544">
        <v>15</v>
      </c>
      <c r="BJ544" t="s">
        <v>242</v>
      </c>
      <c r="BK544" t="s">
        <v>514</v>
      </c>
      <c r="BL544" t="s">
        <v>243</v>
      </c>
      <c r="BM544" t="s">
        <v>8077</v>
      </c>
      <c r="BN544" t="s">
        <v>74</v>
      </c>
      <c r="BO544" t="s">
        <v>74</v>
      </c>
      <c r="BP544" t="s">
        <v>74</v>
      </c>
      <c r="BQ544" t="s">
        <v>74</v>
      </c>
      <c r="BR544" t="s">
        <v>97</v>
      </c>
      <c r="BS544" t="s">
        <v>8129</v>
      </c>
      <c r="BT544" t="str">
        <f>HYPERLINK("https%3A%2F%2Fwww.webofscience.com%2Fwos%2Fwoscc%2Ffull-record%2FWOS:000227977000006","View Full Record in Web of Science")</f>
        <v>View Full Record in Web of Science</v>
      </c>
    </row>
    <row r="545" spans="1:72" x14ac:dyDescent="0.15">
      <c r="A545" t="s">
        <v>72</v>
      </c>
      <c r="B545" t="s">
        <v>8130</v>
      </c>
      <c r="C545" t="s">
        <v>74</v>
      </c>
      <c r="D545" t="s">
        <v>74</v>
      </c>
      <c r="E545" t="s">
        <v>74</v>
      </c>
      <c r="F545" t="s">
        <v>8130</v>
      </c>
      <c r="G545" t="s">
        <v>74</v>
      </c>
      <c r="H545" t="s">
        <v>74</v>
      </c>
      <c r="I545" t="s">
        <v>8131</v>
      </c>
      <c r="J545" t="s">
        <v>3385</v>
      </c>
      <c r="K545" t="s">
        <v>74</v>
      </c>
      <c r="L545" t="s">
        <v>74</v>
      </c>
      <c r="M545" t="s">
        <v>77</v>
      </c>
      <c r="N545" t="s">
        <v>495</v>
      </c>
      <c r="O545" t="s">
        <v>6243</v>
      </c>
      <c r="P545" t="s">
        <v>5178</v>
      </c>
      <c r="Q545" t="s">
        <v>5179</v>
      </c>
      <c r="R545" t="s">
        <v>74</v>
      </c>
      <c r="S545" t="s">
        <v>74</v>
      </c>
      <c r="T545" t="s">
        <v>8132</v>
      </c>
      <c r="U545" t="s">
        <v>8133</v>
      </c>
      <c r="V545" t="s">
        <v>8134</v>
      </c>
      <c r="W545" t="s">
        <v>8135</v>
      </c>
      <c r="X545" t="s">
        <v>8136</v>
      </c>
      <c r="Y545" t="s">
        <v>8137</v>
      </c>
      <c r="Z545" t="s">
        <v>8138</v>
      </c>
      <c r="AA545" t="s">
        <v>8139</v>
      </c>
      <c r="AB545" t="s">
        <v>8140</v>
      </c>
      <c r="AC545" t="s">
        <v>74</v>
      </c>
      <c r="AD545" t="s">
        <v>74</v>
      </c>
      <c r="AE545" t="s">
        <v>74</v>
      </c>
      <c r="AF545" t="s">
        <v>74</v>
      </c>
      <c r="AG545">
        <v>108</v>
      </c>
      <c r="AH545">
        <v>65</v>
      </c>
      <c r="AI545">
        <v>75</v>
      </c>
      <c r="AJ545">
        <v>0</v>
      </c>
      <c r="AK545">
        <v>16</v>
      </c>
      <c r="AL545" t="s">
        <v>435</v>
      </c>
      <c r="AM545" t="s">
        <v>436</v>
      </c>
      <c r="AN545" t="s">
        <v>437</v>
      </c>
      <c r="AO545" t="s">
        <v>3395</v>
      </c>
      <c r="AP545" t="s">
        <v>8074</v>
      </c>
      <c r="AQ545" t="s">
        <v>74</v>
      </c>
      <c r="AR545" t="s">
        <v>3396</v>
      </c>
      <c r="AS545" t="s">
        <v>3397</v>
      </c>
      <c r="AT545" t="s">
        <v>7383</v>
      </c>
      <c r="AU545">
        <v>2005</v>
      </c>
      <c r="AV545">
        <v>45</v>
      </c>
      <c r="AW545" t="s">
        <v>8075</v>
      </c>
      <c r="AX545" t="s">
        <v>74</v>
      </c>
      <c r="AY545" t="s">
        <v>74</v>
      </c>
      <c r="AZ545" t="s">
        <v>74</v>
      </c>
      <c r="BA545" t="s">
        <v>74</v>
      </c>
      <c r="BB545">
        <v>99</v>
      </c>
      <c r="BC545">
        <v>129</v>
      </c>
      <c r="BD545" t="s">
        <v>74</v>
      </c>
      <c r="BE545" t="s">
        <v>8141</v>
      </c>
      <c r="BF545" t="str">
        <f>HYPERLINK("http://dx.doi.org/10.1016/j.gloplacha.2004.09.013","http://dx.doi.org/10.1016/j.gloplacha.2004.09.013")</f>
        <v>http://dx.doi.org/10.1016/j.gloplacha.2004.09.013</v>
      </c>
      <c r="BG545" t="s">
        <v>74</v>
      </c>
      <c r="BH545" t="s">
        <v>74</v>
      </c>
      <c r="BI545">
        <v>31</v>
      </c>
      <c r="BJ545" t="s">
        <v>242</v>
      </c>
      <c r="BK545" t="s">
        <v>514</v>
      </c>
      <c r="BL545" t="s">
        <v>243</v>
      </c>
      <c r="BM545" t="s">
        <v>8077</v>
      </c>
      <c r="BN545" t="s">
        <v>74</v>
      </c>
      <c r="BO545" t="s">
        <v>74</v>
      </c>
      <c r="BP545" t="s">
        <v>74</v>
      </c>
      <c r="BQ545" t="s">
        <v>74</v>
      </c>
      <c r="BR545" t="s">
        <v>97</v>
      </c>
      <c r="BS545" t="s">
        <v>8142</v>
      </c>
      <c r="BT545" t="str">
        <f>HYPERLINK("https%3A%2F%2Fwww.webofscience.com%2Fwos%2Fwoscc%2Ffull-record%2FWOS:000227977000007","View Full Record in Web of Science")</f>
        <v>View Full Record in Web of Science</v>
      </c>
    </row>
    <row r="546" spans="1:72" x14ac:dyDescent="0.15">
      <c r="A546" t="s">
        <v>72</v>
      </c>
      <c r="B546" t="s">
        <v>8143</v>
      </c>
      <c r="C546" t="s">
        <v>74</v>
      </c>
      <c r="D546" t="s">
        <v>74</v>
      </c>
      <c r="E546" t="s">
        <v>74</v>
      </c>
      <c r="F546" t="s">
        <v>8143</v>
      </c>
      <c r="G546" t="s">
        <v>74</v>
      </c>
      <c r="H546" t="s">
        <v>74</v>
      </c>
      <c r="I546" t="s">
        <v>8144</v>
      </c>
      <c r="J546" t="s">
        <v>3385</v>
      </c>
      <c r="K546" t="s">
        <v>74</v>
      </c>
      <c r="L546" t="s">
        <v>74</v>
      </c>
      <c r="M546" t="s">
        <v>77</v>
      </c>
      <c r="N546" t="s">
        <v>495</v>
      </c>
      <c r="O546" t="s">
        <v>6243</v>
      </c>
      <c r="P546" t="s">
        <v>5178</v>
      </c>
      <c r="Q546" t="s">
        <v>5179</v>
      </c>
      <c r="R546" t="s">
        <v>74</v>
      </c>
      <c r="S546" t="s">
        <v>74</v>
      </c>
      <c r="T546" t="s">
        <v>8145</v>
      </c>
      <c r="U546" t="s">
        <v>8146</v>
      </c>
      <c r="V546" t="s">
        <v>8147</v>
      </c>
      <c r="W546" t="s">
        <v>8148</v>
      </c>
      <c r="X546" t="s">
        <v>8149</v>
      </c>
      <c r="Y546" t="s">
        <v>8150</v>
      </c>
      <c r="Z546" t="s">
        <v>8151</v>
      </c>
      <c r="AA546" t="s">
        <v>8152</v>
      </c>
      <c r="AB546" t="s">
        <v>8153</v>
      </c>
      <c r="AC546" t="s">
        <v>74</v>
      </c>
      <c r="AD546" t="s">
        <v>74</v>
      </c>
      <c r="AE546" t="s">
        <v>74</v>
      </c>
      <c r="AF546" t="s">
        <v>74</v>
      </c>
      <c r="AG546">
        <v>97</v>
      </c>
      <c r="AH546">
        <v>38</v>
      </c>
      <c r="AI546">
        <v>40</v>
      </c>
      <c r="AJ546">
        <v>1</v>
      </c>
      <c r="AK546">
        <v>13</v>
      </c>
      <c r="AL546" t="s">
        <v>435</v>
      </c>
      <c r="AM546" t="s">
        <v>436</v>
      </c>
      <c r="AN546" t="s">
        <v>437</v>
      </c>
      <c r="AO546" t="s">
        <v>3395</v>
      </c>
      <c r="AP546" t="s">
        <v>8074</v>
      </c>
      <c r="AQ546" t="s">
        <v>74</v>
      </c>
      <c r="AR546" t="s">
        <v>3396</v>
      </c>
      <c r="AS546" t="s">
        <v>3397</v>
      </c>
      <c r="AT546" t="s">
        <v>7383</v>
      </c>
      <c r="AU546">
        <v>2005</v>
      </c>
      <c r="AV546">
        <v>45</v>
      </c>
      <c r="AW546" t="s">
        <v>8075</v>
      </c>
      <c r="AX546" t="s">
        <v>74</v>
      </c>
      <c r="AY546" t="s">
        <v>74</v>
      </c>
      <c r="AZ546" t="s">
        <v>74</v>
      </c>
      <c r="BA546" t="s">
        <v>74</v>
      </c>
      <c r="BB546">
        <v>131</v>
      </c>
      <c r="BC546">
        <v>149</v>
      </c>
      <c r="BD546" t="s">
        <v>74</v>
      </c>
      <c r="BE546" t="s">
        <v>8154</v>
      </c>
      <c r="BF546" t="str">
        <f>HYPERLINK("http://dx.doi.org/10.1016/j.gloplacha.2004.09.004","http://dx.doi.org/10.1016/j.gloplacha.2004.09.004")</f>
        <v>http://dx.doi.org/10.1016/j.gloplacha.2004.09.004</v>
      </c>
      <c r="BG546" t="s">
        <v>74</v>
      </c>
      <c r="BH546" t="s">
        <v>74</v>
      </c>
      <c r="BI546">
        <v>19</v>
      </c>
      <c r="BJ546" t="s">
        <v>242</v>
      </c>
      <c r="BK546" t="s">
        <v>514</v>
      </c>
      <c r="BL546" t="s">
        <v>243</v>
      </c>
      <c r="BM546" t="s">
        <v>8077</v>
      </c>
      <c r="BN546" t="s">
        <v>74</v>
      </c>
      <c r="BO546" t="s">
        <v>750</v>
      </c>
      <c r="BP546" t="s">
        <v>74</v>
      </c>
      <c r="BQ546" t="s">
        <v>74</v>
      </c>
      <c r="BR546" t="s">
        <v>97</v>
      </c>
      <c r="BS546" t="s">
        <v>8155</v>
      </c>
      <c r="BT546" t="str">
        <f>HYPERLINK("https%3A%2F%2Fwww.webofscience.com%2Fwos%2Fwoscc%2Ffull-record%2FWOS:000227977000008","View Full Record in Web of Science")</f>
        <v>View Full Record in Web of Science</v>
      </c>
    </row>
    <row r="547" spans="1:72" x14ac:dyDescent="0.15">
      <c r="A547" t="s">
        <v>72</v>
      </c>
      <c r="B547" t="s">
        <v>8156</v>
      </c>
      <c r="C547" t="s">
        <v>74</v>
      </c>
      <c r="D547" t="s">
        <v>74</v>
      </c>
      <c r="E547" t="s">
        <v>74</v>
      </c>
      <c r="F547" t="s">
        <v>8156</v>
      </c>
      <c r="G547" t="s">
        <v>74</v>
      </c>
      <c r="H547" t="s">
        <v>74</v>
      </c>
      <c r="I547" t="s">
        <v>8157</v>
      </c>
      <c r="J547" t="s">
        <v>3385</v>
      </c>
      <c r="K547" t="s">
        <v>74</v>
      </c>
      <c r="L547" t="s">
        <v>74</v>
      </c>
      <c r="M547" t="s">
        <v>77</v>
      </c>
      <c r="N547" t="s">
        <v>495</v>
      </c>
      <c r="O547" t="s">
        <v>6243</v>
      </c>
      <c r="P547" t="s">
        <v>5178</v>
      </c>
      <c r="Q547" t="s">
        <v>5179</v>
      </c>
      <c r="R547" t="s">
        <v>74</v>
      </c>
      <c r="S547" t="s">
        <v>74</v>
      </c>
      <c r="T547" t="s">
        <v>8158</v>
      </c>
      <c r="U547" t="s">
        <v>8159</v>
      </c>
      <c r="V547" t="s">
        <v>8160</v>
      </c>
      <c r="W547" t="s">
        <v>8161</v>
      </c>
      <c r="X547" t="s">
        <v>8162</v>
      </c>
      <c r="Y547" t="s">
        <v>3581</v>
      </c>
      <c r="Z547" t="s">
        <v>2636</v>
      </c>
      <c r="AA547" t="s">
        <v>74</v>
      </c>
      <c r="AB547" t="s">
        <v>74</v>
      </c>
      <c r="AC547" t="s">
        <v>74</v>
      </c>
      <c r="AD547" t="s">
        <v>74</v>
      </c>
      <c r="AE547" t="s">
        <v>74</v>
      </c>
      <c r="AF547" t="s">
        <v>74</v>
      </c>
      <c r="AG547">
        <v>119</v>
      </c>
      <c r="AH547">
        <v>60</v>
      </c>
      <c r="AI547">
        <v>66</v>
      </c>
      <c r="AJ547">
        <v>1</v>
      </c>
      <c r="AK547">
        <v>27</v>
      </c>
      <c r="AL547" t="s">
        <v>435</v>
      </c>
      <c r="AM547" t="s">
        <v>436</v>
      </c>
      <c r="AN547" t="s">
        <v>437</v>
      </c>
      <c r="AO547" t="s">
        <v>3395</v>
      </c>
      <c r="AP547" t="s">
        <v>8074</v>
      </c>
      <c r="AQ547" t="s">
        <v>74</v>
      </c>
      <c r="AR547" t="s">
        <v>3396</v>
      </c>
      <c r="AS547" t="s">
        <v>3397</v>
      </c>
      <c r="AT547" t="s">
        <v>7383</v>
      </c>
      <c r="AU547">
        <v>2005</v>
      </c>
      <c r="AV547">
        <v>45</v>
      </c>
      <c r="AW547" t="s">
        <v>8075</v>
      </c>
      <c r="AX547" t="s">
        <v>74</v>
      </c>
      <c r="AY547" t="s">
        <v>74</v>
      </c>
      <c r="AZ547" t="s">
        <v>74</v>
      </c>
      <c r="BA547" t="s">
        <v>74</v>
      </c>
      <c r="BB547">
        <v>165</v>
      </c>
      <c r="BC547">
        <v>191</v>
      </c>
      <c r="BD547" t="s">
        <v>74</v>
      </c>
      <c r="BE547" t="s">
        <v>8163</v>
      </c>
      <c r="BF547" t="str">
        <f>HYPERLINK("http://dx.doi.org/10.1016/j.gloplacha.2004.09.006","http://dx.doi.org/10.1016/j.gloplacha.2004.09.006")</f>
        <v>http://dx.doi.org/10.1016/j.gloplacha.2004.09.006</v>
      </c>
      <c r="BG547" t="s">
        <v>74</v>
      </c>
      <c r="BH547" t="s">
        <v>74</v>
      </c>
      <c r="BI547">
        <v>27</v>
      </c>
      <c r="BJ547" t="s">
        <v>242</v>
      </c>
      <c r="BK547" t="s">
        <v>514</v>
      </c>
      <c r="BL547" t="s">
        <v>243</v>
      </c>
      <c r="BM547" t="s">
        <v>8077</v>
      </c>
      <c r="BN547" t="s">
        <v>74</v>
      </c>
      <c r="BO547" t="s">
        <v>74</v>
      </c>
      <c r="BP547" t="s">
        <v>74</v>
      </c>
      <c r="BQ547" t="s">
        <v>74</v>
      </c>
      <c r="BR547" t="s">
        <v>97</v>
      </c>
      <c r="BS547" t="s">
        <v>8164</v>
      </c>
      <c r="BT547" t="str">
        <f>HYPERLINK("https%3A%2F%2Fwww.webofscience.com%2Fwos%2Fwoscc%2Ffull-record%2FWOS:000227977000010","View Full Record in Web of Science")</f>
        <v>View Full Record in Web of Science</v>
      </c>
    </row>
    <row r="548" spans="1:72" x14ac:dyDescent="0.15">
      <c r="A548" t="s">
        <v>72</v>
      </c>
      <c r="B548" t="s">
        <v>8165</v>
      </c>
      <c r="C548" t="s">
        <v>74</v>
      </c>
      <c r="D548" t="s">
        <v>74</v>
      </c>
      <c r="E548" t="s">
        <v>74</v>
      </c>
      <c r="F548" t="s">
        <v>8165</v>
      </c>
      <c r="G548" t="s">
        <v>74</v>
      </c>
      <c r="H548" t="s">
        <v>74</v>
      </c>
      <c r="I548" t="s">
        <v>8166</v>
      </c>
      <c r="J548" t="s">
        <v>3385</v>
      </c>
      <c r="K548" t="s">
        <v>74</v>
      </c>
      <c r="L548" t="s">
        <v>74</v>
      </c>
      <c r="M548" t="s">
        <v>77</v>
      </c>
      <c r="N548" t="s">
        <v>495</v>
      </c>
      <c r="O548" t="s">
        <v>6243</v>
      </c>
      <c r="P548" t="s">
        <v>5178</v>
      </c>
      <c r="Q548" t="s">
        <v>5179</v>
      </c>
      <c r="R548" t="s">
        <v>74</v>
      </c>
      <c r="S548" t="s">
        <v>74</v>
      </c>
      <c r="T548" t="s">
        <v>8167</v>
      </c>
      <c r="U548" t="s">
        <v>8168</v>
      </c>
      <c r="V548" t="s">
        <v>8169</v>
      </c>
      <c r="W548" t="s">
        <v>8170</v>
      </c>
      <c r="X548" t="s">
        <v>8171</v>
      </c>
      <c r="Y548" t="s">
        <v>8172</v>
      </c>
      <c r="Z548" t="s">
        <v>8173</v>
      </c>
      <c r="AA548" t="s">
        <v>8174</v>
      </c>
      <c r="AB548" t="s">
        <v>8175</v>
      </c>
      <c r="AC548" t="s">
        <v>74</v>
      </c>
      <c r="AD548" t="s">
        <v>74</v>
      </c>
      <c r="AE548" t="s">
        <v>74</v>
      </c>
      <c r="AF548" t="s">
        <v>74</v>
      </c>
      <c r="AG548">
        <v>68</v>
      </c>
      <c r="AH548">
        <v>46</v>
      </c>
      <c r="AI548">
        <v>49</v>
      </c>
      <c r="AJ548">
        <v>0</v>
      </c>
      <c r="AK548">
        <v>8</v>
      </c>
      <c r="AL548" t="s">
        <v>435</v>
      </c>
      <c r="AM548" t="s">
        <v>436</v>
      </c>
      <c r="AN548" t="s">
        <v>437</v>
      </c>
      <c r="AO548" t="s">
        <v>3395</v>
      </c>
      <c r="AP548" t="s">
        <v>8074</v>
      </c>
      <c r="AQ548" t="s">
        <v>74</v>
      </c>
      <c r="AR548" t="s">
        <v>3396</v>
      </c>
      <c r="AS548" t="s">
        <v>3397</v>
      </c>
      <c r="AT548" t="s">
        <v>7383</v>
      </c>
      <c r="AU548">
        <v>2005</v>
      </c>
      <c r="AV548">
        <v>45</v>
      </c>
      <c r="AW548" t="s">
        <v>8075</v>
      </c>
      <c r="AX548" t="s">
        <v>74</v>
      </c>
      <c r="AY548" t="s">
        <v>74</v>
      </c>
      <c r="AZ548" t="s">
        <v>74</v>
      </c>
      <c r="BA548" t="s">
        <v>74</v>
      </c>
      <c r="BB548">
        <v>207</v>
      </c>
      <c r="BC548">
        <v>236</v>
      </c>
      <c r="BD548" t="s">
        <v>74</v>
      </c>
      <c r="BE548" t="s">
        <v>8176</v>
      </c>
      <c r="BF548" t="str">
        <f>HYPERLINK("http://dx.doi.org/10.1016/j.gloplacha.2004.09.009","http://dx.doi.org/10.1016/j.gloplacha.2004.09.009")</f>
        <v>http://dx.doi.org/10.1016/j.gloplacha.2004.09.009</v>
      </c>
      <c r="BG548" t="s">
        <v>74</v>
      </c>
      <c r="BH548" t="s">
        <v>74</v>
      </c>
      <c r="BI548">
        <v>30</v>
      </c>
      <c r="BJ548" t="s">
        <v>242</v>
      </c>
      <c r="BK548" t="s">
        <v>514</v>
      </c>
      <c r="BL548" t="s">
        <v>243</v>
      </c>
      <c r="BM548" t="s">
        <v>8077</v>
      </c>
      <c r="BN548" t="s">
        <v>74</v>
      </c>
      <c r="BO548" t="s">
        <v>74</v>
      </c>
      <c r="BP548" t="s">
        <v>74</v>
      </c>
      <c r="BQ548" t="s">
        <v>74</v>
      </c>
      <c r="BR548" t="s">
        <v>97</v>
      </c>
      <c r="BS548" t="s">
        <v>8177</v>
      </c>
      <c r="BT548" t="str">
        <f>HYPERLINK("https%3A%2F%2Fwww.webofscience.com%2Fwos%2Fwoscc%2Ffull-record%2FWOS:000227977000012","View Full Record in Web of Science")</f>
        <v>View Full Record in Web of Science</v>
      </c>
    </row>
    <row r="549" spans="1:72" x14ac:dyDescent="0.15">
      <c r="A549" t="s">
        <v>72</v>
      </c>
      <c r="B549" t="s">
        <v>8178</v>
      </c>
      <c r="C549" t="s">
        <v>74</v>
      </c>
      <c r="D549" t="s">
        <v>74</v>
      </c>
      <c r="E549" t="s">
        <v>74</v>
      </c>
      <c r="F549" t="s">
        <v>8178</v>
      </c>
      <c r="G549" t="s">
        <v>74</v>
      </c>
      <c r="H549" t="s">
        <v>74</v>
      </c>
      <c r="I549" t="s">
        <v>8179</v>
      </c>
      <c r="J549" t="s">
        <v>3385</v>
      </c>
      <c r="K549" t="s">
        <v>74</v>
      </c>
      <c r="L549" t="s">
        <v>74</v>
      </c>
      <c r="M549" t="s">
        <v>77</v>
      </c>
      <c r="N549" t="s">
        <v>495</v>
      </c>
      <c r="O549" t="s">
        <v>6243</v>
      </c>
      <c r="P549" t="s">
        <v>5178</v>
      </c>
      <c r="Q549" t="s">
        <v>5179</v>
      </c>
      <c r="R549" t="s">
        <v>74</v>
      </c>
      <c r="S549" t="s">
        <v>74</v>
      </c>
      <c r="T549" t="s">
        <v>8180</v>
      </c>
      <c r="U549" t="s">
        <v>8181</v>
      </c>
      <c r="V549" t="s">
        <v>8182</v>
      </c>
      <c r="W549" t="s">
        <v>8183</v>
      </c>
      <c r="X549" t="s">
        <v>8184</v>
      </c>
      <c r="Y549" t="s">
        <v>8185</v>
      </c>
      <c r="Z549" t="s">
        <v>8186</v>
      </c>
      <c r="AA549" t="s">
        <v>74</v>
      </c>
      <c r="AB549" t="s">
        <v>8187</v>
      </c>
      <c r="AC549" t="s">
        <v>74</v>
      </c>
      <c r="AD549" t="s">
        <v>74</v>
      </c>
      <c r="AE549" t="s">
        <v>74</v>
      </c>
      <c r="AF549" t="s">
        <v>74</v>
      </c>
      <c r="AG549">
        <v>37</v>
      </c>
      <c r="AH549">
        <v>5</v>
      </c>
      <c r="AI549">
        <v>6</v>
      </c>
      <c r="AJ549">
        <v>2</v>
      </c>
      <c r="AK549">
        <v>5</v>
      </c>
      <c r="AL549" t="s">
        <v>456</v>
      </c>
      <c r="AM549" t="s">
        <v>436</v>
      </c>
      <c r="AN549" t="s">
        <v>457</v>
      </c>
      <c r="AO549" t="s">
        <v>3395</v>
      </c>
      <c r="AP549" t="s">
        <v>74</v>
      </c>
      <c r="AQ549" t="s">
        <v>74</v>
      </c>
      <c r="AR549" t="s">
        <v>3396</v>
      </c>
      <c r="AS549" t="s">
        <v>3397</v>
      </c>
      <c r="AT549" t="s">
        <v>7383</v>
      </c>
      <c r="AU549">
        <v>2005</v>
      </c>
      <c r="AV549">
        <v>45</v>
      </c>
      <c r="AW549" t="s">
        <v>8075</v>
      </c>
      <c r="AX549" t="s">
        <v>74</v>
      </c>
      <c r="AY549" t="s">
        <v>74</v>
      </c>
      <c r="AZ549" t="s">
        <v>74</v>
      </c>
      <c r="BA549" t="s">
        <v>74</v>
      </c>
      <c r="BB549">
        <v>237</v>
      </c>
      <c r="BC549">
        <v>247</v>
      </c>
      <c r="BD549" t="s">
        <v>74</v>
      </c>
      <c r="BE549" t="s">
        <v>8188</v>
      </c>
      <c r="BF549" t="str">
        <f>HYPERLINK("http://dx.doi.org/10.1016/j.gloplacha.2004.06.014","http://dx.doi.org/10.1016/j.gloplacha.2004.06.014")</f>
        <v>http://dx.doi.org/10.1016/j.gloplacha.2004.06.014</v>
      </c>
      <c r="BG549" t="s">
        <v>74</v>
      </c>
      <c r="BH549" t="s">
        <v>74</v>
      </c>
      <c r="BI549">
        <v>11</v>
      </c>
      <c r="BJ549" t="s">
        <v>242</v>
      </c>
      <c r="BK549" t="s">
        <v>989</v>
      </c>
      <c r="BL549" t="s">
        <v>243</v>
      </c>
      <c r="BM549" t="s">
        <v>8077</v>
      </c>
      <c r="BN549" t="s">
        <v>74</v>
      </c>
      <c r="BO549" t="s">
        <v>74</v>
      </c>
      <c r="BP549" t="s">
        <v>74</v>
      </c>
      <c r="BQ549" t="s">
        <v>74</v>
      </c>
      <c r="BR549" t="s">
        <v>97</v>
      </c>
      <c r="BS549" t="s">
        <v>8189</v>
      </c>
      <c r="BT549" t="str">
        <f>HYPERLINK("https%3A%2F%2Fwww.webofscience.com%2Fwos%2Fwoscc%2Ffull-record%2FWOS:000227977000013","View Full Record in Web of Science")</f>
        <v>View Full Record in Web of Science</v>
      </c>
    </row>
    <row r="550" spans="1:72" x14ac:dyDescent="0.15">
      <c r="A550" t="s">
        <v>72</v>
      </c>
      <c r="B550" t="s">
        <v>8190</v>
      </c>
      <c r="C550" t="s">
        <v>74</v>
      </c>
      <c r="D550" t="s">
        <v>74</v>
      </c>
      <c r="E550" t="s">
        <v>74</v>
      </c>
      <c r="F550" t="s">
        <v>8190</v>
      </c>
      <c r="G550" t="s">
        <v>74</v>
      </c>
      <c r="H550" t="s">
        <v>74</v>
      </c>
      <c r="I550" t="s">
        <v>8191</v>
      </c>
      <c r="J550" t="s">
        <v>8192</v>
      </c>
      <c r="K550" t="s">
        <v>74</v>
      </c>
      <c r="L550" t="s">
        <v>74</v>
      </c>
      <c r="M550" t="s">
        <v>77</v>
      </c>
      <c r="N550" t="s">
        <v>78</v>
      </c>
      <c r="O550" t="s">
        <v>74</v>
      </c>
      <c r="P550" t="s">
        <v>74</v>
      </c>
      <c r="Q550" t="s">
        <v>74</v>
      </c>
      <c r="R550" t="s">
        <v>74</v>
      </c>
      <c r="S550" t="s">
        <v>74</v>
      </c>
      <c r="T550" t="s">
        <v>8193</v>
      </c>
      <c r="U550" t="s">
        <v>8194</v>
      </c>
      <c r="V550" t="s">
        <v>8195</v>
      </c>
      <c r="W550" t="s">
        <v>8196</v>
      </c>
      <c r="X550" t="s">
        <v>4790</v>
      </c>
      <c r="Y550" t="s">
        <v>8197</v>
      </c>
      <c r="Z550" t="s">
        <v>8198</v>
      </c>
      <c r="AA550" t="s">
        <v>74</v>
      </c>
      <c r="AB550" t="s">
        <v>74</v>
      </c>
      <c r="AC550" t="s">
        <v>74</v>
      </c>
      <c r="AD550" t="s">
        <v>74</v>
      </c>
      <c r="AE550" t="s">
        <v>74</v>
      </c>
      <c r="AF550" t="s">
        <v>74</v>
      </c>
      <c r="AG550">
        <v>36</v>
      </c>
      <c r="AH550">
        <v>7</v>
      </c>
      <c r="AI550">
        <v>7</v>
      </c>
      <c r="AJ550">
        <v>1</v>
      </c>
      <c r="AK550">
        <v>20</v>
      </c>
      <c r="AL550" t="s">
        <v>133</v>
      </c>
      <c r="AM550" t="s">
        <v>374</v>
      </c>
      <c r="AN550" t="s">
        <v>375</v>
      </c>
      <c r="AO550" t="s">
        <v>8199</v>
      </c>
      <c r="AP550" t="s">
        <v>74</v>
      </c>
      <c r="AQ550" t="s">
        <v>74</v>
      </c>
      <c r="AR550" t="s">
        <v>8192</v>
      </c>
      <c r="AS550" t="s">
        <v>8200</v>
      </c>
      <c r="AT550" t="s">
        <v>7383</v>
      </c>
      <c r="AU550">
        <v>2005</v>
      </c>
      <c r="AV550">
        <v>534</v>
      </c>
      <c r="AW550" t="s">
        <v>8075</v>
      </c>
      <c r="AX550" t="s">
        <v>74</v>
      </c>
      <c r="AY550" t="s">
        <v>74</v>
      </c>
      <c r="AZ550" t="s">
        <v>74</v>
      </c>
      <c r="BA550" t="s">
        <v>74</v>
      </c>
      <c r="BB550">
        <v>193</v>
      </c>
      <c r="BC550">
        <v>204</v>
      </c>
      <c r="BD550" t="s">
        <v>74</v>
      </c>
      <c r="BE550" t="s">
        <v>8201</v>
      </c>
      <c r="BF550" t="str">
        <f>HYPERLINK("http://dx.doi.org/10.1007/s10750-004-1505-y","http://dx.doi.org/10.1007/s10750-004-1505-y")</f>
        <v>http://dx.doi.org/10.1007/s10750-004-1505-y</v>
      </c>
      <c r="BG550" t="s">
        <v>74</v>
      </c>
      <c r="BH550" t="s">
        <v>74</v>
      </c>
      <c r="BI550">
        <v>12</v>
      </c>
      <c r="BJ550" t="s">
        <v>2011</v>
      </c>
      <c r="BK550" t="s">
        <v>95</v>
      </c>
      <c r="BL550" t="s">
        <v>2011</v>
      </c>
      <c r="BM550" t="s">
        <v>8202</v>
      </c>
      <c r="BN550" t="s">
        <v>74</v>
      </c>
      <c r="BO550" t="s">
        <v>74</v>
      </c>
      <c r="BP550" t="s">
        <v>74</v>
      </c>
      <c r="BQ550" t="s">
        <v>74</v>
      </c>
      <c r="BR550" t="s">
        <v>97</v>
      </c>
      <c r="BS550" t="s">
        <v>8203</v>
      </c>
      <c r="BT550" t="str">
        <f>HYPERLINK("https%3A%2F%2Fwww.webofscience.com%2Fwos%2Fwoscc%2Ffull-record%2FWOS:000227070700016","View Full Record in Web of Science")</f>
        <v>View Full Record in Web of Science</v>
      </c>
    </row>
    <row r="551" spans="1:72" x14ac:dyDescent="0.15">
      <c r="A551" t="s">
        <v>72</v>
      </c>
      <c r="B551" t="s">
        <v>8204</v>
      </c>
      <c r="C551" t="s">
        <v>74</v>
      </c>
      <c r="D551" t="s">
        <v>74</v>
      </c>
      <c r="E551" t="s">
        <v>74</v>
      </c>
      <c r="F551" t="s">
        <v>8204</v>
      </c>
      <c r="G551" t="s">
        <v>74</v>
      </c>
      <c r="H551" t="s">
        <v>74</v>
      </c>
      <c r="I551" t="s">
        <v>8205</v>
      </c>
      <c r="J551" t="s">
        <v>1660</v>
      </c>
      <c r="K551" t="s">
        <v>74</v>
      </c>
      <c r="L551" t="s">
        <v>74</v>
      </c>
      <c r="M551" t="s">
        <v>77</v>
      </c>
      <c r="N551" t="s">
        <v>78</v>
      </c>
      <c r="O551" t="s">
        <v>74</v>
      </c>
      <c r="P551" t="s">
        <v>74</v>
      </c>
      <c r="Q551" t="s">
        <v>74</v>
      </c>
      <c r="R551" t="s">
        <v>74</v>
      </c>
      <c r="S551" t="s">
        <v>74</v>
      </c>
      <c r="T551" t="s">
        <v>8206</v>
      </c>
      <c r="U551" t="s">
        <v>8207</v>
      </c>
      <c r="V551" t="s">
        <v>8208</v>
      </c>
      <c r="W551" t="s">
        <v>8209</v>
      </c>
      <c r="X551" t="s">
        <v>8210</v>
      </c>
      <c r="Y551" t="s">
        <v>8211</v>
      </c>
      <c r="Z551" t="s">
        <v>8212</v>
      </c>
      <c r="AA551" t="s">
        <v>8213</v>
      </c>
      <c r="AB551" t="s">
        <v>8214</v>
      </c>
      <c r="AC551" t="s">
        <v>74</v>
      </c>
      <c r="AD551" t="s">
        <v>74</v>
      </c>
      <c r="AE551" t="s">
        <v>74</v>
      </c>
      <c r="AF551" t="s">
        <v>74</v>
      </c>
      <c r="AG551">
        <v>29</v>
      </c>
      <c r="AH551">
        <v>104</v>
      </c>
      <c r="AI551">
        <v>112</v>
      </c>
      <c r="AJ551">
        <v>0</v>
      </c>
      <c r="AK551">
        <v>19</v>
      </c>
      <c r="AL551" t="s">
        <v>1580</v>
      </c>
      <c r="AM551" t="s">
        <v>256</v>
      </c>
      <c r="AN551" t="s">
        <v>1581</v>
      </c>
      <c r="AO551" t="s">
        <v>1670</v>
      </c>
      <c r="AP551" t="s">
        <v>1671</v>
      </c>
      <c r="AQ551" t="s">
        <v>74</v>
      </c>
      <c r="AR551" t="s">
        <v>1672</v>
      </c>
      <c r="AS551" t="s">
        <v>1673</v>
      </c>
      <c r="AT551" t="s">
        <v>7383</v>
      </c>
      <c r="AU551">
        <v>2005</v>
      </c>
      <c r="AV551">
        <v>62</v>
      </c>
      <c r="AW551">
        <v>1</v>
      </c>
      <c r="AX551" t="s">
        <v>74</v>
      </c>
      <c r="AY551" t="s">
        <v>74</v>
      </c>
      <c r="AZ551" t="s">
        <v>74</v>
      </c>
      <c r="BA551" t="s">
        <v>74</v>
      </c>
      <c r="BB551">
        <v>25</v>
      </c>
      <c r="BC551">
        <v>32</v>
      </c>
      <c r="BD551" t="s">
        <v>74</v>
      </c>
      <c r="BE551" t="s">
        <v>8215</v>
      </c>
      <c r="BF551" t="str">
        <f>HYPERLINK("http://dx.doi.org/10.1016/j.icesjms.2004.07.027","http://dx.doi.org/10.1016/j.icesjms.2004.07.027")</f>
        <v>http://dx.doi.org/10.1016/j.icesjms.2004.07.027</v>
      </c>
      <c r="BG551" t="s">
        <v>74</v>
      </c>
      <c r="BH551" t="s">
        <v>74</v>
      </c>
      <c r="BI551">
        <v>8</v>
      </c>
      <c r="BJ551" t="s">
        <v>1675</v>
      </c>
      <c r="BK551" t="s">
        <v>95</v>
      </c>
      <c r="BL551" t="s">
        <v>1675</v>
      </c>
      <c r="BM551" t="s">
        <v>8216</v>
      </c>
      <c r="BN551" t="s">
        <v>74</v>
      </c>
      <c r="BO551" t="s">
        <v>539</v>
      </c>
      <c r="BP551" t="s">
        <v>74</v>
      </c>
      <c r="BQ551" t="s">
        <v>74</v>
      </c>
      <c r="BR551" t="s">
        <v>97</v>
      </c>
      <c r="BS551" t="s">
        <v>8217</v>
      </c>
      <c r="BT551" t="str">
        <f>HYPERLINK("https%3A%2F%2Fwww.webofscience.com%2Fwos%2Fwoscc%2Ffull-record%2FWOS:000226758200003","View Full Record in Web of Science")</f>
        <v>View Full Record in Web of Science</v>
      </c>
    </row>
    <row r="552" spans="1:72" x14ac:dyDescent="0.15">
      <c r="A552" t="s">
        <v>72</v>
      </c>
      <c r="B552" t="s">
        <v>8218</v>
      </c>
      <c r="C552" t="s">
        <v>74</v>
      </c>
      <c r="D552" t="s">
        <v>74</v>
      </c>
      <c r="E552" t="s">
        <v>74</v>
      </c>
      <c r="F552" t="s">
        <v>8218</v>
      </c>
      <c r="G552" t="s">
        <v>74</v>
      </c>
      <c r="H552" t="s">
        <v>74</v>
      </c>
      <c r="I552" t="s">
        <v>8219</v>
      </c>
      <c r="J552" t="s">
        <v>4645</v>
      </c>
      <c r="K552" t="s">
        <v>74</v>
      </c>
      <c r="L552" t="s">
        <v>74</v>
      </c>
      <c r="M552" t="s">
        <v>77</v>
      </c>
      <c r="N552" t="s">
        <v>495</v>
      </c>
      <c r="O552" t="s">
        <v>8220</v>
      </c>
      <c r="P552" t="s">
        <v>4647</v>
      </c>
      <c r="Q552" t="s">
        <v>4648</v>
      </c>
      <c r="R552" t="s">
        <v>74</v>
      </c>
      <c r="S552" t="s">
        <v>74</v>
      </c>
      <c r="T552" t="s">
        <v>74</v>
      </c>
      <c r="U552" t="s">
        <v>8221</v>
      </c>
      <c r="V552" t="s">
        <v>8222</v>
      </c>
      <c r="W552" t="s">
        <v>8223</v>
      </c>
      <c r="X552" t="s">
        <v>1665</v>
      </c>
      <c r="Y552" t="s">
        <v>8224</v>
      </c>
      <c r="Z552" t="s">
        <v>8225</v>
      </c>
      <c r="AA552" t="s">
        <v>8226</v>
      </c>
      <c r="AB552" t="s">
        <v>8227</v>
      </c>
      <c r="AC552" t="s">
        <v>74</v>
      </c>
      <c r="AD552" t="s">
        <v>74</v>
      </c>
      <c r="AE552" t="s">
        <v>74</v>
      </c>
      <c r="AF552" t="s">
        <v>74</v>
      </c>
      <c r="AG552">
        <v>202</v>
      </c>
      <c r="AH552">
        <v>51</v>
      </c>
      <c r="AI552">
        <v>56</v>
      </c>
      <c r="AJ552">
        <v>4</v>
      </c>
      <c r="AK552">
        <v>28</v>
      </c>
      <c r="AL552" t="s">
        <v>4655</v>
      </c>
      <c r="AM552" t="s">
        <v>4656</v>
      </c>
      <c r="AN552" t="s">
        <v>4657</v>
      </c>
      <c r="AO552" t="s">
        <v>4658</v>
      </c>
      <c r="AP552" t="s">
        <v>4659</v>
      </c>
      <c r="AQ552" t="s">
        <v>74</v>
      </c>
      <c r="AR552" t="s">
        <v>4660</v>
      </c>
      <c r="AS552" t="s">
        <v>4661</v>
      </c>
      <c r="AT552" t="s">
        <v>7383</v>
      </c>
      <c r="AU552">
        <v>2005</v>
      </c>
      <c r="AV552">
        <v>45</v>
      </c>
      <c r="AW552">
        <v>1</v>
      </c>
      <c r="AX552" t="s">
        <v>74</v>
      </c>
      <c r="AY552" t="s">
        <v>74</v>
      </c>
      <c r="AZ552" t="s">
        <v>74</v>
      </c>
      <c r="BA552" t="s">
        <v>74</v>
      </c>
      <c r="BB552">
        <v>201</v>
      </c>
      <c r="BC552">
        <v>214</v>
      </c>
      <c r="BD552" t="s">
        <v>74</v>
      </c>
      <c r="BE552" t="s">
        <v>8228</v>
      </c>
      <c r="BF552" t="str">
        <f>HYPERLINK("http://dx.doi.org/10.1093/icb/45.1.201","http://dx.doi.org/10.1093/icb/45.1.201")</f>
        <v>http://dx.doi.org/10.1093/icb/45.1.201</v>
      </c>
      <c r="BG552" t="s">
        <v>74</v>
      </c>
      <c r="BH552" t="s">
        <v>74</v>
      </c>
      <c r="BI552">
        <v>14</v>
      </c>
      <c r="BJ552" t="s">
        <v>2430</v>
      </c>
      <c r="BK552" t="s">
        <v>514</v>
      </c>
      <c r="BL552" t="s">
        <v>2430</v>
      </c>
      <c r="BM552" t="s">
        <v>8229</v>
      </c>
      <c r="BN552">
        <v>21676763</v>
      </c>
      <c r="BO552" t="s">
        <v>3093</v>
      </c>
      <c r="BP552" t="s">
        <v>74</v>
      </c>
      <c r="BQ552" t="s">
        <v>74</v>
      </c>
      <c r="BR552" t="s">
        <v>97</v>
      </c>
      <c r="BS552" t="s">
        <v>8230</v>
      </c>
      <c r="BT552" t="str">
        <f>HYPERLINK("https%3A%2F%2Fwww.webofscience.com%2Fwos%2Fwoscc%2Ffull-record%2FWOS:000229123000027","View Full Record in Web of Science")</f>
        <v>View Full Record in Web of Science</v>
      </c>
    </row>
    <row r="553" spans="1:72" x14ac:dyDescent="0.15">
      <c r="A553" t="s">
        <v>72</v>
      </c>
      <c r="B553" t="s">
        <v>8231</v>
      </c>
      <c r="C553" t="s">
        <v>74</v>
      </c>
      <c r="D553" t="s">
        <v>74</v>
      </c>
      <c r="E553" t="s">
        <v>74</v>
      </c>
      <c r="F553" t="s">
        <v>8231</v>
      </c>
      <c r="G553" t="s">
        <v>74</v>
      </c>
      <c r="H553" t="s">
        <v>74</v>
      </c>
      <c r="I553" t="s">
        <v>8232</v>
      </c>
      <c r="J553" t="s">
        <v>8233</v>
      </c>
      <c r="K553" t="s">
        <v>74</v>
      </c>
      <c r="L553" t="s">
        <v>74</v>
      </c>
      <c r="M553" t="s">
        <v>77</v>
      </c>
      <c r="N553" t="s">
        <v>78</v>
      </c>
      <c r="O553" t="s">
        <v>74</v>
      </c>
      <c r="P553" t="s">
        <v>74</v>
      </c>
      <c r="Q553" t="s">
        <v>74</v>
      </c>
      <c r="R553" t="s">
        <v>74</v>
      </c>
      <c r="S553" t="s">
        <v>74</v>
      </c>
      <c r="T553" t="s">
        <v>8234</v>
      </c>
      <c r="U553" t="s">
        <v>8235</v>
      </c>
      <c r="V553" t="s">
        <v>8236</v>
      </c>
      <c r="W553" t="s">
        <v>8237</v>
      </c>
      <c r="X553" t="s">
        <v>8238</v>
      </c>
      <c r="Y553" t="s">
        <v>8239</v>
      </c>
      <c r="Z553" t="s">
        <v>8240</v>
      </c>
      <c r="AA553" t="s">
        <v>8241</v>
      </c>
      <c r="AB553" t="s">
        <v>8242</v>
      </c>
      <c r="AC553" t="s">
        <v>74</v>
      </c>
      <c r="AD553" t="s">
        <v>74</v>
      </c>
      <c r="AE553" t="s">
        <v>74</v>
      </c>
      <c r="AF553" t="s">
        <v>74</v>
      </c>
      <c r="AG553">
        <v>31</v>
      </c>
      <c r="AH553">
        <v>14</v>
      </c>
      <c r="AI553">
        <v>15</v>
      </c>
      <c r="AJ553">
        <v>0</v>
      </c>
      <c r="AK553">
        <v>1</v>
      </c>
      <c r="AL553" t="s">
        <v>255</v>
      </c>
      <c r="AM553" t="s">
        <v>256</v>
      </c>
      <c r="AN553" t="s">
        <v>257</v>
      </c>
      <c r="AO553" t="s">
        <v>8243</v>
      </c>
      <c r="AP553" t="s">
        <v>8244</v>
      </c>
      <c r="AQ553" t="s">
        <v>74</v>
      </c>
      <c r="AR553" t="s">
        <v>8245</v>
      </c>
      <c r="AS553" t="s">
        <v>8246</v>
      </c>
      <c r="AT553" t="s">
        <v>7383</v>
      </c>
      <c r="AU553">
        <v>2005</v>
      </c>
      <c r="AV553">
        <v>67</v>
      </c>
      <c r="AW553">
        <v>3</v>
      </c>
      <c r="AX553" t="s">
        <v>74</v>
      </c>
      <c r="AY553" t="s">
        <v>74</v>
      </c>
      <c r="AZ553" t="s">
        <v>74</v>
      </c>
      <c r="BA553" t="s">
        <v>74</v>
      </c>
      <c r="BB553">
        <v>293</v>
      </c>
      <c r="BC553">
        <v>300</v>
      </c>
      <c r="BD553" t="s">
        <v>74</v>
      </c>
      <c r="BE553" t="s">
        <v>8247</v>
      </c>
      <c r="BF553" t="str">
        <f>HYPERLINK("http://dx.doi.org/10.1016/j.jastp.2004.07.043","http://dx.doi.org/10.1016/j.jastp.2004.07.043")</f>
        <v>http://dx.doi.org/10.1016/j.jastp.2004.07.043</v>
      </c>
      <c r="BG553" t="s">
        <v>74</v>
      </c>
      <c r="BH553" t="s">
        <v>74</v>
      </c>
      <c r="BI553">
        <v>8</v>
      </c>
      <c r="BJ553" t="s">
        <v>8248</v>
      </c>
      <c r="BK553" t="s">
        <v>95</v>
      </c>
      <c r="BL553" t="s">
        <v>8248</v>
      </c>
      <c r="BM553" t="s">
        <v>8249</v>
      </c>
      <c r="BN553" t="s">
        <v>74</v>
      </c>
      <c r="BO553" t="s">
        <v>74</v>
      </c>
      <c r="BP553" t="s">
        <v>74</v>
      </c>
      <c r="BQ553" t="s">
        <v>74</v>
      </c>
      <c r="BR553" t="s">
        <v>97</v>
      </c>
      <c r="BS553" t="s">
        <v>8250</v>
      </c>
      <c r="BT553" t="str">
        <f>HYPERLINK("https%3A%2F%2Fwww.webofscience.com%2Fwos%2Fwoscc%2Ffull-record%2FWOS:000226707000009","View Full Record in Web of Science")</f>
        <v>View Full Record in Web of Science</v>
      </c>
    </row>
    <row r="554" spans="1:72" x14ac:dyDescent="0.15">
      <c r="A554" t="s">
        <v>72</v>
      </c>
      <c r="B554" t="s">
        <v>8251</v>
      </c>
      <c r="C554" t="s">
        <v>74</v>
      </c>
      <c r="D554" t="s">
        <v>74</v>
      </c>
      <c r="E554" t="s">
        <v>74</v>
      </c>
      <c r="F554" t="s">
        <v>8251</v>
      </c>
      <c r="G554" t="s">
        <v>74</v>
      </c>
      <c r="H554" t="s">
        <v>74</v>
      </c>
      <c r="I554" t="s">
        <v>8252</v>
      </c>
      <c r="J554" t="s">
        <v>8253</v>
      </c>
      <c r="K554" t="s">
        <v>74</v>
      </c>
      <c r="L554" t="s">
        <v>74</v>
      </c>
      <c r="M554" t="s">
        <v>77</v>
      </c>
      <c r="N554" t="s">
        <v>78</v>
      </c>
      <c r="O554" t="s">
        <v>74</v>
      </c>
      <c r="P554" t="s">
        <v>74</v>
      </c>
      <c r="Q554" t="s">
        <v>74</v>
      </c>
      <c r="R554" t="s">
        <v>74</v>
      </c>
      <c r="S554" t="s">
        <v>74</v>
      </c>
      <c r="T554" t="s">
        <v>8254</v>
      </c>
      <c r="U554" t="s">
        <v>8255</v>
      </c>
      <c r="V554" t="s">
        <v>8256</v>
      </c>
      <c r="W554" t="s">
        <v>8257</v>
      </c>
      <c r="X554" t="s">
        <v>8258</v>
      </c>
      <c r="Y554" t="s">
        <v>8259</v>
      </c>
      <c r="Z554" t="s">
        <v>8260</v>
      </c>
      <c r="AA554" t="s">
        <v>74</v>
      </c>
      <c r="AB554" t="s">
        <v>8261</v>
      </c>
      <c r="AC554" t="s">
        <v>74</v>
      </c>
      <c r="AD554" t="s">
        <v>74</v>
      </c>
      <c r="AE554" t="s">
        <v>74</v>
      </c>
      <c r="AF554" t="s">
        <v>74</v>
      </c>
      <c r="AG554">
        <v>53</v>
      </c>
      <c r="AH554">
        <v>12</v>
      </c>
      <c r="AI554">
        <v>13</v>
      </c>
      <c r="AJ554">
        <v>0</v>
      </c>
      <c r="AK554">
        <v>7</v>
      </c>
      <c r="AL554" t="s">
        <v>1789</v>
      </c>
      <c r="AM554" t="s">
        <v>1790</v>
      </c>
      <c r="AN554" t="s">
        <v>1791</v>
      </c>
      <c r="AO554" t="s">
        <v>8262</v>
      </c>
      <c r="AP554" t="s">
        <v>74</v>
      </c>
      <c r="AQ554" t="s">
        <v>74</v>
      </c>
      <c r="AR554" t="s">
        <v>8263</v>
      </c>
      <c r="AS554" t="s">
        <v>8264</v>
      </c>
      <c r="AT554" t="s">
        <v>7383</v>
      </c>
      <c r="AU554">
        <v>2005</v>
      </c>
      <c r="AV554">
        <v>175</v>
      </c>
      <c r="AW554">
        <v>2</v>
      </c>
      <c r="AX554" t="s">
        <v>74</v>
      </c>
      <c r="AY554" t="s">
        <v>74</v>
      </c>
      <c r="AZ554" t="s">
        <v>74</v>
      </c>
      <c r="BA554" t="s">
        <v>74</v>
      </c>
      <c r="BB554">
        <v>97</v>
      </c>
      <c r="BC554">
        <v>105</v>
      </c>
      <c r="BD554" t="s">
        <v>74</v>
      </c>
      <c r="BE554" t="s">
        <v>8265</v>
      </c>
      <c r="BF554" t="str">
        <f>HYPERLINK("http://dx.doi.org/10.1007/s00360-004-0466-9","http://dx.doi.org/10.1007/s00360-004-0466-9")</f>
        <v>http://dx.doi.org/10.1007/s00360-004-0466-9</v>
      </c>
      <c r="BG554" t="s">
        <v>74</v>
      </c>
      <c r="BH554" t="s">
        <v>74</v>
      </c>
      <c r="BI554">
        <v>9</v>
      </c>
      <c r="BJ554" t="s">
        <v>119</v>
      </c>
      <c r="BK554" t="s">
        <v>95</v>
      </c>
      <c r="BL554" t="s">
        <v>119</v>
      </c>
      <c r="BM554" t="s">
        <v>8266</v>
      </c>
      <c r="BN554">
        <v>15602656</v>
      </c>
      <c r="BO554" t="s">
        <v>74</v>
      </c>
      <c r="BP554" t="s">
        <v>74</v>
      </c>
      <c r="BQ554" t="s">
        <v>74</v>
      </c>
      <c r="BR554" t="s">
        <v>97</v>
      </c>
      <c r="BS554" t="s">
        <v>8267</v>
      </c>
      <c r="BT554" t="str">
        <f>HYPERLINK("https%3A%2F%2Fwww.webofscience.com%2Fwos%2Fwoscc%2Ffull-record%2FWOS:000227783400003","View Full Record in Web of Science")</f>
        <v>View Full Record in Web of Science</v>
      </c>
    </row>
    <row r="555" spans="1:72" x14ac:dyDescent="0.15">
      <c r="A555" t="s">
        <v>72</v>
      </c>
      <c r="B555" t="s">
        <v>8268</v>
      </c>
      <c r="C555" t="s">
        <v>74</v>
      </c>
      <c r="D555" t="s">
        <v>74</v>
      </c>
      <c r="E555" t="s">
        <v>74</v>
      </c>
      <c r="F555" t="s">
        <v>8268</v>
      </c>
      <c r="G555" t="s">
        <v>74</v>
      </c>
      <c r="H555" t="s">
        <v>74</v>
      </c>
      <c r="I555" t="s">
        <v>8269</v>
      </c>
      <c r="J555" t="s">
        <v>3521</v>
      </c>
      <c r="K555" t="s">
        <v>74</v>
      </c>
      <c r="L555" t="s">
        <v>74</v>
      </c>
      <c r="M555" t="s">
        <v>77</v>
      </c>
      <c r="N555" t="s">
        <v>78</v>
      </c>
      <c r="O555" t="s">
        <v>74</v>
      </c>
      <c r="P555" t="s">
        <v>74</v>
      </c>
      <c r="Q555" t="s">
        <v>74</v>
      </c>
      <c r="R555" t="s">
        <v>74</v>
      </c>
      <c r="S555" t="s">
        <v>74</v>
      </c>
      <c r="T555" t="s">
        <v>74</v>
      </c>
      <c r="U555" t="s">
        <v>74</v>
      </c>
      <c r="V555" t="s">
        <v>8270</v>
      </c>
      <c r="W555" t="s">
        <v>8271</v>
      </c>
      <c r="X555" t="s">
        <v>8272</v>
      </c>
      <c r="Y555" t="s">
        <v>8273</v>
      </c>
      <c r="Z555" t="s">
        <v>8274</v>
      </c>
      <c r="AA555" t="s">
        <v>8275</v>
      </c>
      <c r="AB555" t="s">
        <v>8276</v>
      </c>
      <c r="AC555" t="s">
        <v>74</v>
      </c>
      <c r="AD555" t="s">
        <v>74</v>
      </c>
      <c r="AE555" t="s">
        <v>74</v>
      </c>
      <c r="AF555" t="s">
        <v>74</v>
      </c>
      <c r="AG555">
        <v>9</v>
      </c>
      <c r="AH555">
        <v>7</v>
      </c>
      <c r="AI555">
        <v>8</v>
      </c>
      <c r="AJ555">
        <v>0</v>
      </c>
      <c r="AK555">
        <v>1</v>
      </c>
      <c r="AL555" t="s">
        <v>1580</v>
      </c>
      <c r="AM555" t="s">
        <v>256</v>
      </c>
      <c r="AN555" t="s">
        <v>1581</v>
      </c>
      <c r="AO555" t="s">
        <v>3528</v>
      </c>
      <c r="AP555" t="s">
        <v>3529</v>
      </c>
      <c r="AQ555" t="s">
        <v>74</v>
      </c>
      <c r="AR555" t="s">
        <v>3530</v>
      </c>
      <c r="AS555" t="s">
        <v>3531</v>
      </c>
      <c r="AT555" t="s">
        <v>7383</v>
      </c>
      <c r="AU555">
        <v>2005</v>
      </c>
      <c r="AV555">
        <v>25</v>
      </c>
      <c r="AW555">
        <v>1</v>
      </c>
      <c r="AX555" t="s">
        <v>74</v>
      </c>
      <c r="AY555" t="s">
        <v>74</v>
      </c>
      <c r="AZ555" t="s">
        <v>74</v>
      </c>
      <c r="BA555" t="s">
        <v>74</v>
      </c>
      <c r="BB555">
        <v>75</v>
      </c>
      <c r="BC555">
        <v>80</v>
      </c>
      <c r="BD555" t="s">
        <v>74</v>
      </c>
      <c r="BE555" t="s">
        <v>8277</v>
      </c>
      <c r="BF555" t="str">
        <f>HYPERLINK("http://dx.doi.org/10.1651/C-2500","http://dx.doi.org/10.1651/C-2500")</f>
        <v>http://dx.doi.org/10.1651/C-2500</v>
      </c>
      <c r="BG555" t="s">
        <v>74</v>
      </c>
      <c r="BH555" t="s">
        <v>74</v>
      </c>
      <c r="BI555">
        <v>6</v>
      </c>
      <c r="BJ555" t="s">
        <v>3533</v>
      </c>
      <c r="BK555" t="s">
        <v>95</v>
      </c>
      <c r="BL555" t="s">
        <v>3533</v>
      </c>
      <c r="BM555" t="s">
        <v>8278</v>
      </c>
      <c r="BN555" t="s">
        <v>74</v>
      </c>
      <c r="BO555" t="s">
        <v>74</v>
      </c>
      <c r="BP555" t="s">
        <v>74</v>
      </c>
      <c r="BQ555" t="s">
        <v>74</v>
      </c>
      <c r="BR555" t="s">
        <v>97</v>
      </c>
      <c r="BS555" t="s">
        <v>8279</v>
      </c>
      <c r="BT555" t="str">
        <f>HYPERLINK("https%3A%2F%2Fwww.webofscience.com%2Fwos%2Fwoscc%2Ffull-record%2FWOS:000227398300006","View Full Record in Web of Science")</f>
        <v>View Full Record in Web of Science</v>
      </c>
    </row>
    <row r="556" spans="1:72" x14ac:dyDescent="0.15">
      <c r="A556" t="s">
        <v>72</v>
      </c>
      <c r="B556" t="s">
        <v>8280</v>
      </c>
      <c r="C556" t="s">
        <v>74</v>
      </c>
      <c r="D556" t="s">
        <v>74</v>
      </c>
      <c r="E556" t="s">
        <v>74</v>
      </c>
      <c r="F556" t="s">
        <v>8280</v>
      </c>
      <c r="G556" t="s">
        <v>74</v>
      </c>
      <c r="H556" t="s">
        <v>74</v>
      </c>
      <c r="I556" t="s">
        <v>8281</v>
      </c>
      <c r="J556" t="s">
        <v>3521</v>
      </c>
      <c r="K556" t="s">
        <v>74</v>
      </c>
      <c r="L556" t="s">
        <v>74</v>
      </c>
      <c r="M556" t="s">
        <v>77</v>
      </c>
      <c r="N556" t="s">
        <v>78</v>
      </c>
      <c r="O556" t="s">
        <v>74</v>
      </c>
      <c r="P556" t="s">
        <v>74</v>
      </c>
      <c r="Q556" t="s">
        <v>74</v>
      </c>
      <c r="R556" t="s">
        <v>74</v>
      </c>
      <c r="S556" t="s">
        <v>74</v>
      </c>
      <c r="T556" t="s">
        <v>74</v>
      </c>
      <c r="U556" t="s">
        <v>8282</v>
      </c>
      <c r="V556" t="s">
        <v>8283</v>
      </c>
      <c r="W556" t="s">
        <v>8284</v>
      </c>
      <c r="X556" t="s">
        <v>8285</v>
      </c>
      <c r="Y556" t="s">
        <v>8286</v>
      </c>
      <c r="Z556" t="s">
        <v>8287</v>
      </c>
      <c r="AA556" t="s">
        <v>8288</v>
      </c>
      <c r="AB556" t="s">
        <v>8289</v>
      </c>
      <c r="AC556" t="s">
        <v>74</v>
      </c>
      <c r="AD556" t="s">
        <v>74</v>
      </c>
      <c r="AE556" t="s">
        <v>74</v>
      </c>
      <c r="AF556" t="s">
        <v>74</v>
      </c>
      <c r="AG556">
        <v>28</v>
      </c>
      <c r="AH556">
        <v>25</v>
      </c>
      <c r="AI556">
        <v>29</v>
      </c>
      <c r="AJ556">
        <v>1</v>
      </c>
      <c r="AK556">
        <v>16</v>
      </c>
      <c r="AL556" t="s">
        <v>1580</v>
      </c>
      <c r="AM556" t="s">
        <v>256</v>
      </c>
      <c r="AN556" t="s">
        <v>1581</v>
      </c>
      <c r="AO556" t="s">
        <v>3528</v>
      </c>
      <c r="AP556" t="s">
        <v>3529</v>
      </c>
      <c r="AQ556" t="s">
        <v>74</v>
      </c>
      <c r="AR556" t="s">
        <v>3530</v>
      </c>
      <c r="AS556" t="s">
        <v>3531</v>
      </c>
      <c r="AT556" t="s">
        <v>7383</v>
      </c>
      <c r="AU556">
        <v>2005</v>
      </c>
      <c r="AV556">
        <v>25</v>
      </c>
      <c r="AW556">
        <v>1</v>
      </c>
      <c r="AX556" t="s">
        <v>74</v>
      </c>
      <c r="AY556" t="s">
        <v>74</v>
      </c>
      <c r="AZ556" t="s">
        <v>74</v>
      </c>
      <c r="BA556" t="s">
        <v>74</v>
      </c>
      <c r="BB556">
        <v>95</v>
      </c>
      <c r="BC556">
        <v>99</v>
      </c>
      <c r="BD556" t="s">
        <v>74</v>
      </c>
      <c r="BE556" t="s">
        <v>8290</v>
      </c>
      <c r="BF556" t="str">
        <f>HYPERLINK("http://dx.doi.org/10.1651/C-2448","http://dx.doi.org/10.1651/C-2448")</f>
        <v>http://dx.doi.org/10.1651/C-2448</v>
      </c>
      <c r="BG556" t="s">
        <v>74</v>
      </c>
      <c r="BH556" t="s">
        <v>74</v>
      </c>
      <c r="BI556">
        <v>5</v>
      </c>
      <c r="BJ556" t="s">
        <v>3533</v>
      </c>
      <c r="BK556" t="s">
        <v>95</v>
      </c>
      <c r="BL556" t="s">
        <v>3533</v>
      </c>
      <c r="BM556" t="s">
        <v>8278</v>
      </c>
      <c r="BN556" t="s">
        <v>74</v>
      </c>
      <c r="BO556" t="s">
        <v>74</v>
      </c>
      <c r="BP556" t="s">
        <v>74</v>
      </c>
      <c r="BQ556" t="s">
        <v>74</v>
      </c>
      <c r="BR556" t="s">
        <v>97</v>
      </c>
      <c r="BS556" t="s">
        <v>8291</v>
      </c>
      <c r="BT556" t="str">
        <f>HYPERLINK("https%3A%2F%2Fwww.webofscience.com%2Fwos%2Fwoscc%2Ffull-record%2FWOS:000227398300008","View Full Record in Web of Science")</f>
        <v>View Full Record in Web of Science</v>
      </c>
    </row>
    <row r="557" spans="1:72" x14ac:dyDescent="0.15">
      <c r="A557" t="s">
        <v>72</v>
      </c>
      <c r="B557" t="s">
        <v>8292</v>
      </c>
      <c r="C557" t="s">
        <v>74</v>
      </c>
      <c r="D557" t="s">
        <v>74</v>
      </c>
      <c r="E557" t="s">
        <v>74</v>
      </c>
      <c r="F557" t="s">
        <v>8292</v>
      </c>
      <c r="G557" t="s">
        <v>74</v>
      </c>
      <c r="H557" t="s">
        <v>74</v>
      </c>
      <c r="I557" t="s">
        <v>8293</v>
      </c>
      <c r="J557" t="s">
        <v>8294</v>
      </c>
      <c r="K557" t="s">
        <v>74</v>
      </c>
      <c r="L557" t="s">
        <v>74</v>
      </c>
      <c r="M557" t="s">
        <v>77</v>
      </c>
      <c r="N557" t="s">
        <v>78</v>
      </c>
      <c r="O557" t="s">
        <v>74</v>
      </c>
      <c r="P557" t="s">
        <v>74</v>
      </c>
      <c r="Q557" t="s">
        <v>74</v>
      </c>
      <c r="R557" t="s">
        <v>74</v>
      </c>
      <c r="S557" t="s">
        <v>74</v>
      </c>
      <c r="T557" t="s">
        <v>74</v>
      </c>
      <c r="U557" t="s">
        <v>8295</v>
      </c>
      <c r="V557" t="s">
        <v>8296</v>
      </c>
      <c r="W557" t="s">
        <v>8297</v>
      </c>
      <c r="X557" t="s">
        <v>8298</v>
      </c>
      <c r="Y557" t="s">
        <v>8299</v>
      </c>
      <c r="Z557" t="s">
        <v>8300</v>
      </c>
      <c r="AA557" t="s">
        <v>8301</v>
      </c>
      <c r="AB557" t="s">
        <v>8302</v>
      </c>
      <c r="AC557" t="s">
        <v>74</v>
      </c>
      <c r="AD557" t="s">
        <v>74</v>
      </c>
      <c r="AE557" t="s">
        <v>74</v>
      </c>
      <c r="AF557" t="s">
        <v>74</v>
      </c>
      <c r="AG557">
        <v>68</v>
      </c>
      <c r="AH557">
        <v>11</v>
      </c>
      <c r="AI557">
        <v>12</v>
      </c>
      <c r="AJ557">
        <v>0</v>
      </c>
      <c r="AK557">
        <v>12</v>
      </c>
      <c r="AL557" t="s">
        <v>8303</v>
      </c>
      <c r="AM557" t="s">
        <v>1813</v>
      </c>
      <c r="AN557" t="s">
        <v>8304</v>
      </c>
      <c r="AO557" t="s">
        <v>8305</v>
      </c>
      <c r="AP557" t="s">
        <v>8306</v>
      </c>
      <c r="AQ557" t="s">
        <v>74</v>
      </c>
      <c r="AR557" t="s">
        <v>8307</v>
      </c>
      <c r="AS557" t="s">
        <v>8308</v>
      </c>
      <c r="AT557" t="s">
        <v>7383</v>
      </c>
      <c r="AU557">
        <v>2005</v>
      </c>
      <c r="AV557">
        <v>7</v>
      </c>
      <c r="AW557">
        <v>2</v>
      </c>
      <c r="AX557" t="s">
        <v>74</v>
      </c>
      <c r="AY557" t="s">
        <v>74</v>
      </c>
      <c r="AZ557" t="s">
        <v>74</v>
      </c>
      <c r="BA557" t="s">
        <v>74</v>
      </c>
      <c r="BB557">
        <v>109</v>
      </c>
      <c r="BC557">
        <v>114</v>
      </c>
      <c r="BD557" t="s">
        <v>74</v>
      </c>
      <c r="BE557" t="s">
        <v>8309</v>
      </c>
      <c r="BF557" t="str">
        <f>HYPERLINK("http://dx.doi.org/10.1039/b410494c","http://dx.doi.org/10.1039/b410494c")</f>
        <v>http://dx.doi.org/10.1039/b410494c</v>
      </c>
      <c r="BG557" t="s">
        <v>74</v>
      </c>
      <c r="BH557" t="s">
        <v>74</v>
      </c>
      <c r="BI557">
        <v>6</v>
      </c>
      <c r="BJ557" t="s">
        <v>8310</v>
      </c>
      <c r="BK557" t="s">
        <v>95</v>
      </c>
      <c r="BL557" t="s">
        <v>8311</v>
      </c>
      <c r="BM557" t="s">
        <v>8312</v>
      </c>
      <c r="BN557">
        <v>15690090</v>
      </c>
      <c r="BO557" t="s">
        <v>74</v>
      </c>
      <c r="BP557" t="s">
        <v>74</v>
      </c>
      <c r="BQ557" t="s">
        <v>74</v>
      </c>
      <c r="BR557" t="s">
        <v>97</v>
      </c>
      <c r="BS557" t="s">
        <v>8313</v>
      </c>
      <c r="BT557" t="str">
        <f>HYPERLINK("https%3A%2F%2Fwww.webofscience.com%2Fwos%2Fwoscc%2Ffull-record%2FWOS:000227279500009","View Full Record in Web of Science")</f>
        <v>View Full Record in Web of Science</v>
      </c>
    </row>
    <row r="558" spans="1:72" x14ac:dyDescent="0.15">
      <c r="A558" t="s">
        <v>72</v>
      </c>
      <c r="B558" t="s">
        <v>8314</v>
      </c>
      <c r="C558" t="s">
        <v>74</v>
      </c>
      <c r="D558" t="s">
        <v>74</v>
      </c>
      <c r="E558" t="s">
        <v>74</v>
      </c>
      <c r="F558" t="s">
        <v>8314</v>
      </c>
      <c r="G558" t="s">
        <v>74</v>
      </c>
      <c r="H558" t="s">
        <v>74</v>
      </c>
      <c r="I558" t="s">
        <v>8315</v>
      </c>
      <c r="J558" t="s">
        <v>1850</v>
      </c>
      <c r="K558" t="s">
        <v>74</v>
      </c>
      <c r="L558" t="s">
        <v>74</v>
      </c>
      <c r="M558" t="s">
        <v>77</v>
      </c>
      <c r="N558" t="s">
        <v>78</v>
      </c>
      <c r="O558" t="s">
        <v>74</v>
      </c>
      <c r="P558" t="s">
        <v>74</v>
      </c>
      <c r="Q558" t="s">
        <v>74</v>
      </c>
      <c r="R558" t="s">
        <v>74</v>
      </c>
      <c r="S558" t="s">
        <v>74</v>
      </c>
      <c r="T558" t="s">
        <v>8316</v>
      </c>
      <c r="U558" t="s">
        <v>8317</v>
      </c>
      <c r="V558" t="s">
        <v>8318</v>
      </c>
      <c r="W558" t="s">
        <v>8319</v>
      </c>
      <c r="X558" t="s">
        <v>2292</v>
      </c>
      <c r="Y558" t="s">
        <v>8320</v>
      </c>
      <c r="Z558" t="s">
        <v>8321</v>
      </c>
      <c r="AA558" t="s">
        <v>2295</v>
      </c>
      <c r="AB558" t="s">
        <v>8322</v>
      </c>
      <c r="AC558" t="s">
        <v>74</v>
      </c>
      <c r="AD558" t="s">
        <v>74</v>
      </c>
      <c r="AE558" t="s">
        <v>74</v>
      </c>
      <c r="AF558" t="s">
        <v>74</v>
      </c>
      <c r="AG558">
        <v>40</v>
      </c>
      <c r="AH558">
        <v>21</v>
      </c>
      <c r="AI558">
        <v>21</v>
      </c>
      <c r="AJ558">
        <v>0</v>
      </c>
      <c r="AK558">
        <v>6</v>
      </c>
      <c r="AL558" t="s">
        <v>472</v>
      </c>
      <c r="AM558" t="s">
        <v>473</v>
      </c>
      <c r="AN558" t="s">
        <v>474</v>
      </c>
      <c r="AO558" t="s">
        <v>1854</v>
      </c>
      <c r="AP558" t="s">
        <v>3545</v>
      </c>
      <c r="AQ558" t="s">
        <v>74</v>
      </c>
      <c r="AR558" t="s">
        <v>1855</v>
      </c>
      <c r="AS558" t="s">
        <v>1856</v>
      </c>
      <c r="AT558" t="s">
        <v>7383</v>
      </c>
      <c r="AU558">
        <v>2005</v>
      </c>
      <c r="AV558">
        <v>66</v>
      </c>
      <c r="AW558">
        <v>2</v>
      </c>
      <c r="AX558" t="s">
        <v>74</v>
      </c>
      <c r="AY558" t="s">
        <v>74</v>
      </c>
      <c r="AZ558" t="s">
        <v>74</v>
      </c>
      <c r="BA558" t="s">
        <v>74</v>
      </c>
      <c r="BB558">
        <v>442</v>
      </c>
      <c r="BC558">
        <v>453</v>
      </c>
      <c r="BD558" t="s">
        <v>74</v>
      </c>
      <c r="BE558" t="s">
        <v>8323</v>
      </c>
      <c r="BF558" t="str">
        <f>HYPERLINK("http://dx.doi.org/10.1111/j.0022-1112.2005.00613.x","http://dx.doi.org/10.1111/j.0022-1112.2005.00613.x")</f>
        <v>http://dx.doi.org/10.1111/j.0022-1112.2005.00613.x</v>
      </c>
      <c r="BG558" t="s">
        <v>74</v>
      </c>
      <c r="BH558" t="s">
        <v>74</v>
      </c>
      <c r="BI558">
        <v>12</v>
      </c>
      <c r="BJ558" t="s">
        <v>1857</v>
      </c>
      <c r="BK558" t="s">
        <v>95</v>
      </c>
      <c r="BL558" t="s">
        <v>1857</v>
      </c>
      <c r="BM558" t="s">
        <v>8324</v>
      </c>
      <c r="BN558" t="s">
        <v>74</v>
      </c>
      <c r="BO558" t="s">
        <v>74</v>
      </c>
      <c r="BP558" t="s">
        <v>74</v>
      </c>
      <c r="BQ558" t="s">
        <v>74</v>
      </c>
      <c r="BR558" t="s">
        <v>97</v>
      </c>
      <c r="BS558" t="s">
        <v>8325</v>
      </c>
      <c r="BT558" t="str">
        <f>HYPERLINK("https%3A%2F%2Fwww.webofscience.com%2Fwos%2Fwoscc%2Ffull-record%2FWOS:000227413400011","View Full Record in Web of Science")</f>
        <v>View Full Record in Web of Science</v>
      </c>
    </row>
    <row r="559" spans="1:72" x14ac:dyDescent="0.15">
      <c r="A559" t="s">
        <v>72</v>
      </c>
      <c r="B559" t="s">
        <v>8326</v>
      </c>
      <c r="C559" t="s">
        <v>74</v>
      </c>
      <c r="D559" t="s">
        <v>74</v>
      </c>
      <c r="E559" t="s">
        <v>74</v>
      </c>
      <c r="F559" t="s">
        <v>8326</v>
      </c>
      <c r="G559" t="s">
        <v>74</v>
      </c>
      <c r="H559" t="s">
        <v>74</v>
      </c>
      <c r="I559" t="s">
        <v>8327</v>
      </c>
      <c r="J559" t="s">
        <v>1868</v>
      </c>
      <c r="K559" t="s">
        <v>74</v>
      </c>
      <c r="L559" t="s">
        <v>74</v>
      </c>
      <c r="M559" t="s">
        <v>77</v>
      </c>
      <c r="N559" t="s">
        <v>78</v>
      </c>
      <c r="O559" t="s">
        <v>74</v>
      </c>
      <c r="P559" t="s">
        <v>74</v>
      </c>
      <c r="Q559" t="s">
        <v>74</v>
      </c>
      <c r="R559" t="s">
        <v>74</v>
      </c>
      <c r="S559" t="s">
        <v>74</v>
      </c>
      <c r="T559" t="s">
        <v>74</v>
      </c>
      <c r="U559" t="s">
        <v>8328</v>
      </c>
      <c r="V559" t="s">
        <v>8329</v>
      </c>
      <c r="W559" t="s">
        <v>8330</v>
      </c>
      <c r="X559" t="s">
        <v>8331</v>
      </c>
      <c r="Y559" t="s">
        <v>8332</v>
      </c>
      <c r="Z559" t="s">
        <v>8333</v>
      </c>
      <c r="AA559" t="s">
        <v>6551</v>
      </c>
      <c r="AB559" t="s">
        <v>6552</v>
      </c>
      <c r="AC559" t="s">
        <v>74</v>
      </c>
      <c r="AD559" t="s">
        <v>74</v>
      </c>
      <c r="AE559" t="s">
        <v>74</v>
      </c>
      <c r="AF559" t="s">
        <v>74</v>
      </c>
      <c r="AG559">
        <v>29</v>
      </c>
      <c r="AH559">
        <v>23</v>
      </c>
      <c r="AI559">
        <v>26</v>
      </c>
      <c r="AJ559">
        <v>0</v>
      </c>
      <c r="AK559">
        <v>2</v>
      </c>
      <c r="AL559" t="s">
        <v>527</v>
      </c>
      <c r="AM559" t="s">
        <v>528</v>
      </c>
      <c r="AN559" t="s">
        <v>529</v>
      </c>
      <c r="AO559" t="s">
        <v>1877</v>
      </c>
      <c r="AP559" t="s">
        <v>1878</v>
      </c>
      <c r="AQ559" t="s">
        <v>74</v>
      </c>
      <c r="AR559" t="s">
        <v>1879</v>
      </c>
      <c r="AS559" t="s">
        <v>1880</v>
      </c>
      <c r="AT559" t="s">
        <v>8024</v>
      </c>
      <c r="AU559">
        <v>2005</v>
      </c>
      <c r="AV559">
        <v>110</v>
      </c>
      <c r="AW559" t="s">
        <v>7342</v>
      </c>
      <c r="AX559" t="s">
        <v>74</v>
      </c>
      <c r="AY559" t="s">
        <v>74</v>
      </c>
      <c r="AZ559" t="s">
        <v>74</v>
      </c>
      <c r="BA559" t="s">
        <v>74</v>
      </c>
      <c r="BB559" t="s">
        <v>74</v>
      </c>
      <c r="BC559" t="s">
        <v>74</v>
      </c>
      <c r="BD559" t="s">
        <v>8334</v>
      </c>
      <c r="BE559" t="s">
        <v>8335</v>
      </c>
      <c r="BF559" t="str">
        <f>HYPERLINK("http://dx.doi.org/10.1029/2004JD005304","http://dx.doi.org/10.1029/2004JD005304")</f>
        <v>http://dx.doi.org/10.1029/2004JD005304</v>
      </c>
      <c r="BG559" t="s">
        <v>74</v>
      </c>
      <c r="BH559" t="s">
        <v>74</v>
      </c>
      <c r="BI559">
        <v>13</v>
      </c>
      <c r="BJ559" t="s">
        <v>401</v>
      </c>
      <c r="BK559" t="s">
        <v>95</v>
      </c>
      <c r="BL559" t="s">
        <v>401</v>
      </c>
      <c r="BM559" t="s">
        <v>8336</v>
      </c>
      <c r="BN559" t="s">
        <v>74</v>
      </c>
      <c r="BO559" t="s">
        <v>613</v>
      </c>
      <c r="BP559" t="s">
        <v>74</v>
      </c>
      <c r="BQ559" t="s">
        <v>74</v>
      </c>
      <c r="BR559" t="s">
        <v>97</v>
      </c>
      <c r="BS559" t="s">
        <v>8337</v>
      </c>
      <c r="BT559" t="str">
        <f>HYPERLINK("https%3A%2F%2Fwww.webofscience.com%2Fwos%2Fwoscc%2Ffull-record%2FWOS:000226901400006","View Full Record in Web of Science")</f>
        <v>View Full Record in Web of Science</v>
      </c>
    </row>
    <row r="560" spans="1:72" x14ac:dyDescent="0.15">
      <c r="A560" t="s">
        <v>72</v>
      </c>
      <c r="B560" t="s">
        <v>8338</v>
      </c>
      <c r="C560" t="s">
        <v>74</v>
      </c>
      <c r="D560" t="s">
        <v>74</v>
      </c>
      <c r="E560" t="s">
        <v>74</v>
      </c>
      <c r="F560" t="s">
        <v>8338</v>
      </c>
      <c r="G560" t="s">
        <v>74</v>
      </c>
      <c r="H560" t="s">
        <v>74</v>
      </c>
      <c r="I560" t="s">
        <v>8339</v>
      </c>
      <c r="J560" t="s">
        <v>8340</v>
      </c>
      <c r="K560" t="s">
        <v>74</v>
      </c>
      <c r="L560" t="s">
        <v>74</v>
      </c>
      <c r="M560" t="s">
        <v>77</v>
      </c>
      <c r="N560" t="s">
        <v>78</v>
      </c>
      <c r="O560" t="s">
        <v>74</v>
      </c>
      <c r="P560" t="s">
        <v>74</v>
      </c>
      <c r="Q560" t="s">
        <v>74</v>
      </c>
      <c r="R560" t="s">
        <v>74</v>
      </c>
      <c r="S560" t="s">
        <v>74</v>
      </c>
      <c r="T560" t="s">
        <v>8341</v>
      </c>
      <c r="U560" t="s">
        <v>8342</v>
      </c>
      <c r="V560" t="s">
        <v>8343</v>
      </c>
      <c r="W560" t="s">
        <v>8344</v>
      </c>
      <c r="X560" t="s">
        <v>8345</v>
      </c>
      <c r="Y560" t="s">
        <v>8346</v>
      </c>
      <c r="Z560" t="s">
        <v>8347</v>
      </c>
      <c r="AA560" t="s">
        <v>8348</v>
      </c>
      <c r="AB560" t="s">
        <v>8349</v>
      </c>
      <c r="AC560" t="s">
        <v>74</v>
      </c>
      <c r="AD560" t="s">
        <v>74</v>
      </c>
      <c r="AE560" t="s">
        <v>74</v>
      </c>
      <c r="AF560" t="s">
        <v>74</v>
      </c>
      <c r="AG560">
        <v>39</v>
      </c>
      <c r="AH560">
        <v>52</v>
      </c>
      <c r="AI560">
        <v>61</v>
      </c>
      <c r="AJ560">
        <v>0</v>
      </c>
      <c r="AK560">
        <v>21</v>
      </c>
      <c r="AL560" t="s">
        <v>456</v>
      </c>
      <c r="AM560" t="s">
        <v>436</v>
      </c>
      <c r="AN560" t="s">
        <v>457</v>
      </c>
      <c r="AO560" t="s">
        <v>8350</v>
      </c>
      <c r="AP560" t="s">
        <v>8351</v>
      </c>
      <c r="AQ560" t="s">
        <v>74</v>
      </c>
      <c r="AR560" t="s">
        <v>8352</v>
      </c>
      <c r="AS560" t="s">
        <v>8353</v>
      </c>
      <c r="AT560" t="s">
        <v>8024</v>
      </c>
      <c r="AU560">
        <v>2005</v>
      </c>
      <c r="AV560">
        <v>302</v>
      </c>
      <c r="AW560" t="s">
        <v>887</v>
      </c>
      <c r="AX560" t="s">
        <v>74</v>
      </c>
      <c r="AY560" t="s">
        <v>74</v>
      </c>
      <c r="AZ560" t="s">
        <v>74</v>
      </c>
      <c r="BA560" t="s">
        <v>74</v>
      </c>
      <c r="BB560">
        <v>270</v>
      </c>
      <c r="BC560">
        <v>282</v>
      </c>
      <c r="BD560" t="s">
        <v>74</v>
      </c>
      <c r="BE560" t="s">
        <v>8354</v>
      </c>
      <c r="BF560" t="str">
        <f>HYPERLINK("http://dx.doi.org/10.1016/j.jhydrol.2004.07.003","http://dx.doi.org/10.1016/j.jhydrol.2004.07.003")</f>
        <v>http://dx.doi.org/10.1016/j.jhydrol.2004.07.003</v>
      </c>
      <c r="BG560" t="s">
        <v>74</v>
      </c>
      <c r="BH560" t="s">
        <v>74</v>
      </c>
      <c r="BI560">
        <v>13</v>
      </c>
      <c r="BJ560" t="s">
        <v>8355</v>
      </c>
      <c r="BK560" t="s">
        <v>95</v>
      </c>
      <c r="BL560" t="s">
        <v>8356</v>
      </c>
      <c r="BM560" t="s">
        <v>8357</v>
      </c>
      <c r="BN560" t="s">
        <v>74</v>
      </c>
      <c r="BO560" t="s">
        <v>74</v>
      </c>
      <c r="BP560" t="s">
        <v>74</v>
      </c>
      <c r="BQ560" t="s">
        <v>74</v>
      </c>
      <c r="BR560" t="s">
        <v>97</v>
      </c>
      <c r="BS560" t="s">
        <v>8358</v>
      </c>
      <c r="BT560" t="str">
        <f>HYPERLINK("https%3A%2F%2Fwww.webofscience.com%2Fwos%2Fwoscc%2Ffull-record%2FWOS:000226396500017","View Full Record in Web of Science")</f>
        <v>View Full Record in Web of Science</v>
      </c>
    </row>
    <row r="561" spans="1:72" x14ac:dyDescent="0.15">
      <c r="A561" t="s">
        <v>72</v>
      </c>
      <c r="B561" t="s">
        <v>8359</v>
      </c>
      <c r="C561" t="s">
        <v>74</v>
      </c>
      <c r="D561" t="s">
        <v>74</v>
      </c>
      <c r="E561" t="s">
        <v>74</v>
      </c>
      <c r="F561" t="s">
        <v>8359</v>
      </c>
      <c r="G561" t="s">
        <v>74</v>
      </c>
      <c r="H561" t="s">
        <v>74</v>
      </c>
      <c r="I561" t="s">
        <v>8360</v>
      </c>
      <c r="J561" t="s">
        <v>8361</v>
      </c>
      <c r="K561" t="s">
        <v>74</v>
      </c>
      <c r="L561" t="s">
        <v>74</v>
      </c>
      <c r="M561" t="s">
        <v>77</v>
      </c>
      <c r="N561" t="s">
        <v>78</v>
      </c>
      <c r="O561" t="s">
        <v>74</v>
      </c>
      <c r="P561" t="s">
        <v>74</v>
      </c>
      <c r="Q561" t="s">
        <v>74</v>
      </c>
      <c r="R561" t="s">
        <v>74</v>
      </c>
      <c r="S561" t="s">
        <v>74</v>
      </c>
      <c r="T561" t="s">
        <v>8362</v>
      </c>
      <c r="U561" t="s">
        <v>8363</v>
      </c>
      <c r="V561" t="s">
        <v>8364</v>
      </c>
      <c r="W561" t="s">
        <v>8365</v>
      </c>
      <c r="X561" t="s">
        <v>8366</v>
      </c>
      <c r="Y561" t="s">
        <v>8367</v>
      </c>
      <c r="Z561" t="s">
        <v>8368</v>
      </c>
      <c r="AA561" t="s">
        <v>74</v>
      </c>
      <c r="AB561" t="s">
        <v>74</v>
      </c>
      <c r="AC561" t="s">
        <v>74</v>
      </c>
      <c r="AD561" t="s">
        <v>74</v>
      </c>
      <c r="AE561" t="s">
        <v>74</v>
      </c>
      <c r="AF561" t="s">
        <v>74</v>
      </c>
      <c r="AG561">
        <v>31</v>
      </c>
      <c r="AH561">
        <v>3</v>
      </c>
      <c r="AI561">
        <v>6</v>
      </c>
      <c r="AJ561">
        <v>0</v>
      </c>
      <c r="AK561">
        <v>4</v>
      </c>
      <c r="AL561" t="s">
        <v>8369</v>
      </c>
      <c r="AM561" t="s">
        <v>8370</v>
      </c>
      <c r="AN561" t="s">
        <v>8371</v>
      </c>
      <c r="AO561" t="s">
        <v>8372</v>
      </c>
      <c r="AP561" t="s">
        <v>74</v>
      </c>
      <c r="AQ561" t="s">
        <v>74</v>
      </c>
      <c r="AR561" t="s">
        <v>8373</v>
      </c>
      <c r="AS561" t="s">
        <v>8374</v>
      </c>
      <c r="AT561" t="s">
        <v>7383</v>
      </c>
      <c r="AU561">
        <v>2005</v>
      </c>
      <c r="AV561">
        <v>15</v>
      </c>
      <c r="AW561">
        <v>1</v>
      </c>
      <c r="AX561" t="s">
        <v>74</v>
      </c>
      <c r="AY561" t="s">
        <v>74</v>
      </c>
      <c r="AZ561" t="s">
        <v>74</v>
      </c>
      <c r="BA561" t="s">
        <v>74</v>
      </c>
      <c r="BB561">
        <v>125</v>
      </c>
      <c r="BC561">
        <v>130</v>
      </c>
      <c r="BD561" t="s">
        <v>74</v>
      </c>
      <c r="BE561" t="s">
        <v>74</v>
      </c>
      <c r="BF561" t="s">
        <v>74</v>
      </c>
      <c r="BG561" t="s">
        <v>74</v>
      </c>
      <c r="BH561" t="s">
        <v>74</v>
      </c>
      <c r="BI561">
        <v>6</v>
      </c>
      <c r="BJ561" t="s">
        <v>2282</v>
      </c>
      <c r="BK561" t="s">
        <v>95</v>
      </c>
      <c r="BL561" t="s">
        <v>2282</v>
      </c>
      <c r="BM561" t="s">
        <v>8375</v>
      </c>
      <c r="BN561" t="s">
        <v>74</v>
      </c>
      <c r="BO561" t="s">
        <v>74</v>
      </c>
      <c r="BP561" t="s">
        <v>74</v>
      </c>
      <c r="BQ561" t="s">
        <v>74</v>
      </c>
      <c r="BR561" t="s">
        <v>97</v>
      </c>
      <c r="BS561" t="s">
        <v>8376</v>
      </c>
      <c r="BT561" t="str">
        <f>HYPERLINK("https%3A%2F%2Fwww.webofscience.com%2Fwos%2Fwoscc%2Ffull-record%2FWOS:000227309000020","View Full Record in Web of Science")</f>
        <v>View Full Record in Web of Science</v>
      </c>
    </row>
    <row r="562" spans="1:72" x14ac:dyDescent="0.15">
      <c r="A562" t="s">
        <v>72</v>
      </c>
      <c r="B562" t="s">
        <v>8377</v>
      </c>
      <c r="C562" t="s">
        <v>74</v>
      </c>
      <c r="D562" t="s">
        <v>74</v>
      </c>
      <c r="E562" t="s">
        <v>74</v>
      </c>
      <c r="F562" t="s">
        <v>8377</v>
      </c>
      <c r="G562" t="s">
        <v>74</v>
      </c>
      <c r="H562" t="s">
        <v>74</v>
      </c>
      <c r="I562" t="s">
        <v>8378</v>
      </c>
      <c r="J562" t="s">
        <v>1963</v>
      </c>
      <c r="K562" t="s">
        <v>74</v>
      </c>
      <c r="L562" t="s">
        <v>74</v>
      </c>
      <c r="M562" t="s">
        <v>77</v>
      </c>
      <c r="N562" t="s">
        <v>78</v>
      </c>
      <c r="O562" t="s">
        <v>74</v>
      </c>
      <c r="P562" t="s">
        <v>74</v>
      </c>
      <c r="Q562" t="s">
        <v>74</v>
      </c>
      <c r="R562" t="s">
        <v>74</v>
      </c>
      <c r="S562" t="s">
        <v>74</v>
      </c>
      <c r="T562" t="s">
        <v>74</v>
      </c>
      <c r="U562" t="s">
        <v>8379</v>
      </c>
      <c r="V562" t="s">
        <v>8380</v>
      </c>
      <c r="W562" t="s">
        <v>8381</v>
      </c>
      <c r="X562" t="s">
        <v>8382</v>
      </c>
      <c r="Y562" t="s">
        <v>8383</v>
      </c>
      <c r="Z562" t="s">
        <v>8384</v>
      </c>
      <c r="AA562" t="s">
        <v>74</v>
      </c>
      <c r="AB562" t="s">
        <v>74</v>
      </c>
      <c r="AC562" t="s">
        <v>74</v>
      </c>
      <c r="AD562" t="s">
        <v>74</v>
      </c>
      <c r="AE562" t="s">
        <v>74</v>
      </c>
      <c r="AF562" t="s">
        <v>74</v>
      </c>
      <c r="AG562">
        <v>15</v>
      </c>
      <c r="AH562">
        <v>27</v>
      </c>
      <c r="AI562">
        <v>29</v>
      </c>
      <c r="AJ562">
        <v>0</v>
      </c>
      <c r="AK562">
        <v>4</v>
      </c>
      <c r="AL562" t="s">
        <v>902</v>
      </c>
      <c r="AM562" t="s">
        <v>903</v>
      </c>
      <c r="AN562" t="s">
        <v>922</v>
      </c>
      <c r="AO562" t="s">
        <v>1970</v>
      </c>
      <c r="AP562" t="s">
        <v>3633</v>
      </c>
      <c r="AQ562" t="s">
        <v>74</v>
      </c>
      <c r="AR562" t="s">
        <v>1971</v>
      </c>
      <c r="AS562" t="s">
        <v>1972</v>
      </c>
      <c r="AT562" t="s">
        <v>7383</v>
      </c>
      <c r="AU562">
        <v>2005</v>
      </c>
      <c r="AV562">
        <v>35</v>
      </c>
      <c r="AW562">
        <v>2</v>
      </c>
      <c r="AX562" t="s">
        <v>74</v>
      </c>
      <c r="AY562" t="s">
        <v>74</v>
      </c>
      <c r="AZ562" t="s">
        <v>74</v>
      </c>
      <c r="BA562" t="s">
        <v>74</v>
      </c>
      <c r="BB562">
        <v>175</v>
      </c>
      <c r="BC562">
        <v>187</v>
      </c>
      <c r="BD562" t="s">
        <v>74</v>
      </c>
      <c r="BE562" t="s">
        <v>8385</v>
      </c>
      <c r="BF562" t="str">
        <f>HYPERLINK("http://dx.doi.org/10.1175/JPO-2670.1","http://dx.doi.org/10.1175/JPO-2670.1")</f>
        <v>http://dx.doi.org/10.1175/JPO-2670.1</v>
      </c>
      <c r="BG562" t="s">
        <v>74</v>
      </c>
      <c r="BH562" t="s">
        <v>74</v>
      </c>
      <c r="BI562">
        <v>13</v>
      </c>
      <c r="BJ562" t="s">
        <v>632</v>
      </c>
      <c r="BK562" t="s">
        <v>95</v>
      </c>
      <c r="BL562" t="s">
        <v>632</v>
      </c>
      <c r="BM562" t="s">
        <v>8386</v>
      </c>
      <c r="BN562" t="s">
        <v>74</v>
      </c>
      <c r="BO562" t="s">
        <v>539</v>
      </c>
      <c r="BP562" t="s">
        <v>74</v>
      </c>
      <c r="BQ562" t="s">
        <v>74</v>
      </c>
      <c r="BR562" t="s">
        <v>97</v>
      </c>
      <c r="BS562" t="s">
        <v>8387</v>
      </c>
      <c r="BT562" t="str">
        <f>HYPERLINK("https%3A%2F%2Fwww.webofscience.com%2Fwos%2Fwoscc%2Ffull-record%2FWOS:000227794300004","View Full Record in Web of Science")</f>
        <v>View Full Record in Web of Science</v>
      </c>
    </row>
    <row r="563" spans="1:72" x14ac:dyDescent="0.15">
      <c r="A563" t="s">
        <v>72</v>
      </c>
      <c r="B563" t="s">
        <v>8388</v>
      </c>
      <c r="C563" t="s">
        <v>74</v>
      </c>
      <c r="D563" t="s">
        <v>74</v>
      </c>
      <c r="E563" t="s">
        <v>74</v>
      </c>
      <c r="F563" t="s">
        <v>8388</v>
      </c>
      <c r="G563" t="s">
        <v>74</v>
      </c>
      <c r="H563" t="s">
        <v>74</v>
      </c>
      <c r="I563" t="s">
        <v>8389</v>
      </c>
      <c r="J563" t="s">
        <v>1963</v>
      </c>
      <c r="K563" t="s">
        <v>74</v>
      </c>
      <c r="L563" t="s">
        <v>74</v>
      </c>
      <c r="M563" t="s">
        <v>77</v>
      </c>
      <c r="N563" t="s">
        <v>78</v>
      </c>
      <c r="O563" t="s">
        <v>74</v>
      </c>
      <c r="P563" t="s">
        <v>74</v>
      </c>
      <c r="Q563" t="s">
        <v>74</v>
      </c>
      <c r="R563" t="s">
        <v>74</v>
      </c>
      <c r="S563" t="s">
        <v>74</v>
      </c>
      <c r="T563" t="s">
        <v>74</v>
      </c>
      <c r="U563" t="s">
        <v>8390</v>
      </c>
      <c r="V563" t="s">
        <v>8391</v>
      </c>
      <c r="W563" t="s">
        <v>8392</v>
      </c>
      <c r="X563" t="s">
        <v>8393</v>
      </c>
      <c r="Y563" t="s">
        <v>8394</v>
      </c>
      <c r="Z563" t="s">
        <v>8395</v>
      </c>
      <c r="AA563" t="s">
        <v>8396</v>
      </c>
      <c r="AB563" t="s">
        <v>74</v>
      </c>
      <c r="AC563" t="s">
        <v>74</v>
      </c>
      <c r="AD563" t="s">
        <v>74</v>
      </c>
      <c r="AE563" t="s">
        <v>74</v>
      </c>
      <c r="AF563" t="s">
        <v>74</v>
      </c>
      <c r="AG563">
        <v>39</v>
      </c>
      <c r="AH563">
        <v>20</v>
      </c>
      <c r="AI563">
        <v>22</v>
      </c>
      <c r="AJ563">
        <v>0</v>
      </c>
      <c r="AK563">
        <v>3</v>
      </c>
      <c r="AL563" t="s">
        <v>902</v>
      </c>
      <c r="AM563" t="s">
        <v>903</v>
      </c>
      <c r="AN563" t="s">
        <v>922</v>
      </c>
      <c r="AO563" t="s">
        <v>1970</v>
      </c>
      <c r="AP563" t="s">
        <v>3633</v>
      </c>
      <c r="AQ563" t="s">
        <v>74</v>
      </c>
      <c r="AR563" t="s">
        <v>1971</v>
      </c>
      <c r="AS563" t="s">
        <v>1972</v>
      </c>
      <c r="AT563" t="s">
        <v>7383</v>
      </c>
      <c r="AU563">
        <v>2005</v>
      </c>
      <c r="AV563">
        <v>35</v>
      </c>
      <c r="AW563">
        <v>2</v>
      </c>
      <c r="AX563" t="s">
        <v>74</v>
      </c>
      <c r="AY563" t="s">
        <v>74</v>
      </c>
      <c r="AZ563" t="s">
        <v>74</v>
      </c>
      <c r="BA563" t="s">
        <v>74</v>
      </c>
      <c r="BB563">
        <v>188</v>
      </c>
      <c r="BC563">
        <v>201</v>
      </c>
      <c r="BD563" t="s">
        <v>74</v>
      </c>
      <c r="BE563" t="s">
        <v>8397</v>
      </c>
      <c r="BF563" t="str">
        <f>HYPERLINK("http://dx.doi.org/10.1175/JPO-2675.1","http://dx.doi.org/10.1175/JPO-2675.1")</f>
        <v>http://dx.doi.org/10.1175/JPO-2675.1</v>
      </c>
      <c r="BG563" t="s">
        <v>74</v>
      </c>
      <c r="BH563" t="s">
        <v>74</v>
      </c>
      <c r="BI563">
        <v>14</v>
      </c>
      <c r="BJ563" t="s">
        <v>632</v>
      </c>
      <c r="BK563" t="s">
        <v>95</v>
      </c>
      <c r="BL563" t="s">
        <v>632</v>
      </c>
      <c r="BM563" t="s">
        <v>8386</v>
      </c>
      <c r="BN563" t="s">
        <v>74</v>
      </c>
      <c r="BO563" t="s">
        <v>1776</v>
      </c>
      <c r="BP563" t="s">
        <v>74</v>
      </c>
      <c r="BQ563" t="s">
        <v>74</v>
      </c>
      <c r="BR563" t="s">
        <v>97</v>
      </c>
      <c r="BS563" t="s">
        <v>8398</v>
      </c>
      <c r="BT563" t="str">
        <f>HYPERLINK("https%3A%2F%2Fwww.webofscience.com%2Fwos%2Fwoscc%2Ffull-record%2FWOS:000227794300005","View Full Record in Web of Science")</f>
        <v>View Full Record in Web of Science</v>
      </c>
    </row>
    <row r="564" spans="1:72" x14ac:dyDescent="0.15">
      <c r="A564" t="s">
        <v>72</v>
      </c>
      <c r="B564" t="s">
        <v>8399</v>
      </c>
      <c r="C564" t="s">
        <v>74</v>
      </c>
      <c r="D564" t="s">
        <v>74</v>
      </c>
      <c r="E564" t="s">
        <v>74</v>
      </c>
      <c r="F564" t="s">
        <v>8399</v>
      </c>
      <c r="G564" t="s">
        <v>74</v>
      </c>
      <c r="H564" t="s">
        <v>74</v>
      </c>
      <c r="I564" t="s">
        <v>8400</v>
      </c>
      <c r="J564" t="s">
        <v>8401</v>
      </c>
      <c r="K564" t="s">
        <v>74</v>
      </c>
      <c r="L564" t="s">
        <v>74</v>
      </c>
      <c r="M564" t="s">
        <v>77</v>
      </c>
      <c r="N564" t="s">
        <v>78</v>
      </c>
      <c r="O564" t="s">
        <v>74</v>
      </c>
      <c r="P564" t="s">
        <v>74</v>
      </c>
      <c r="Q564" t="s">
        <v>74</v>
      </c>
      <c r="R564" t="s">
        <v>74</v>
      </c>
      <c r="S564" t="s">
        <v>74</v>
      </c>
      <c r="T564" t="s">
        <v>8402</v>
      </c>
      <c r="U564" t="s">
        <v>8403</v>
      </c>
      <c r="V564" t="s">
        <v>8404</v>
      </c>
      <c r="W564" t="s">
        <v>8405</v>
      </c>
      <c r="X564" t="s">
        <v>8406</v>
      </c>
      <c r="Y564" t="s">
        <v>8407</v>
      </c>
      <c r="Z564" t="s">
        <v>8408</v>
      </c>
      <c r="AA564" t="s">
        <v>74</v>
      </c>
      <c r="AB564" t="s">
        <v>74</v>
      </c>
      <c r="AC564" t="s">
        <v>74</v>
      </c>
      <c r="AD564" t="s">
        <v>74</v>
      </c>
      <c r="AE564" t="s">
        <v>74</v>
      </c>
      <c r="AF564" t="s">
        <v>74</v>
      </c>
      <c r="AG564">
        <v>15</v>
      </c>
      <c r="AH564">
        <v>5</v>
      </c>
      <c r="AI564">
        <v>5</v>
      </c>
      <c r="AJ564">
        <v>0</v>
      </c>
      <c r="AK564">
        <v>0</v>
      </c>
      <c r="AL564" t="s">
        <v>2503</v>
      </c>
      <c r="AM564" t="s">
        <v>1911</v>
      </c>
      <c r="AN564" t="s">
        <v>2504</v>
      </c>
      <c r="AO564" t="s">
        <v>8409</v>
      </c>
      <c r="AP564" t="s">
        <v>74</v>
      </c>
      <c r="AQ564" t="s">
        <v>74</v>
      </c>
      <c r="AR564" t="s">
        <v>8410</v>
      </c>
      <c r="AS564" t="s">
        <v>8411</v>
      </c>
      <c r="AT564" t="s">
        <v>7383</v>
      </c>
      <c r="AU564">
        <v>2005</v>
      </c>
      <c r="AV564" t="s">
        <v>74</v>
      </c>
      <c r="AW564" t="s">
        <v>74</v>
      </c>
      <c r="AX564" t="s">
        <v>74</v>
      </c>
      <c r="AY564" t="s">
        <v>74</v>
      </c>
      <c r="AZ564" t="s">
        <v>74</v>
      </c>
      <c r="BA564" t="s">
        <v>74</v>
      </c>
      <c r="BB564" t="s">
        <v>74</v>
      </c>
      <c r="BC564" t="s">
        <v>74</v>
      </c>
      <c r="BD564" t="s">
        <v>8412</v>
      </c>
      <c r="BE564" t="s">
        <v>8413</v>
      </c>
      <c r="BF564" t="str">
        <f>HYPERLINK("http://dx.doi.org/10.1088/1742-5468/2005/02/P02002","http://dx.doi.org/10.1088/1742-5468/2005/02/P02002")</f>
        <v>http://dx.doi.org/10.1088/1742-5468/2005/02/P02002</v>
      </c>
      <c r="BG564" t="s">
        <v>74</v>
      </c>
      <c r="BH564" t="s">
        <v>74</v>
      </c>
      <c r="BI564">
        <v>11</v>
      </c>
      <c r="BJ564" t="s">
        <v>8414</v>
      </c>
      <c r="BK564" t="s">
        <v>95</v>
      </c>
      <c r="BL564" t="s">
        <v>8415</v>
      </c>
      <c r="BM564" t="s">
        <v>8416</v>
      </c>
      <c r="BN564" t="s">
        <v>74</v>
      </c>
      <c r="BO564" t="s">
        <v>143</v>
      </c>
      <c r="BP564" t="s">
        <v>74</v>
      </c>
      <c r="BQ564" t="s">
        <v>74</v>
      </c>
      <c r="BR564" t="s">
        <v>97</v>
      </c>
      <c r="BS564" t="s">
        <v>8417</v>
      </c>
      <c r="BT564" t="str">
        <f>HYPERLINK("https%3A%2F%2Fwww.webofscience.com%2Fwos%2Fwoscc%2Ffull-record%2FWOS:000227304500007","View Full Record in Web of Science")</f>
        <v>View Full Record in Web of Science</v>
      </c>
    </row>
    <row r="565" spans="1:72" x14ac:dyDescent="0.15">
      <c r="A565" t="s">
        <v>72</v>
      </c>
      <c r="B565" t="s">
        <v>8418</v>
      </c>
      <c r="C565" t="s">
        <v>74</v>
      </c>
      <c r="D565" t="s">
        <v>74</v>
      </c>
      <c r="E565" t="s">
        <v>74</v>
      </c>
      <c r="F565" t="s">
        <v>8418</v>
      </c>
      <c r="G565" t="s">
        <v>74</v>
      </c>
      <c r="H565" t="s">
        <v>74</v>
      </c>
      <c r="I565" t="s">
        <v>8419</v>
      </c>
      <c r="J565" t="s">
        <v>1999</v>
      </c>
      <c r="K565" t="s">
        <v>74</v>
      </c>
      <c r="L565" t="s">
        <v>74</v>
      </c>
      <c r="M565" t="s">
        <v>77</v>
      </c>
      <c r="N565" t="s">
        <v>78</v>
      </c>
      <c r="O565" t="s">
        <v>74</v>
      </c>
      <c r="P565" t="s">
        <v>74</v>
      </c>
      <c r="Q565" t="s">
        <v>74</v>
      </c>
      <c r="R565" t="s">
        <v>74</v>
      </c>
      <c r="S565" t="s">
        <v>74</v>
      </c>
      <c r="T565" t="s">
        <v>74</v>
      </c>
      <c r="U565" t="s">
        <v>8420</v>
      </c>
      <c r="V565" t="s">
        <v>8421</v>
      </c>
      <c r="W565" t="s">
        <v>6865</v>
      </c>
      <c r="X565" t="s">
        <v>128</v>
      </c>
      <c r="Y565" t="s">
        <v>8422</v>
      </c>
      <c r="Z565" t="s">
        <v>8423</v>
      </c>
      <c r="AA565" t="s">
        <v>8424</v>
      </c>
      <c r="AB565" t="s">
        <v>74</v>
      </c>
      <c r="AC565" t="s">
        <v>74</v>
      </c>
      <c r="AD565" t="s">
        <v>74</v>
      </c>
      <c r="AE565" t="s">
        <v>74</v>
      </c>
      <c r="AF565" t="s">
        <v>74</v>
      </c>
      <c r="AG565">
        <v>65</v>
      </c>
      <c r="AH565">
        <v>58</v>
      </c>
      <c r="AI565">
        <v>60</v>
      </c>
      <c r="AJ565">
        <v>0</v>
      </c>
      <c r="AK565">
        <v>21</v>
      </c>
      <c r="AL565" t="s">
        <v>133</v>
      </c>
      <c r="AM565" t="s">
        <v>134</v>
      </c>
      <c r="AN565" t="s">
        <v>135</v>
      </c>
      <c r="AO565" t="s">
        <v>2007</v>
      </c>
      <c r="AP565" t="s">
        <v>74</v>
      </c>
      <c r="AQ565" t="s">
        <v>74</v>
      </c>
      <c r="AR565" t="s">
        <v>2008</v>
      </c>
      <c r="AS565" t="s">
        <v>2009</v>
      </c>
      <c r="AT565" t="s">
        <v>7383</v>
      </c>
      <c r="AU565">
        <v>2005</v>
      </c>
      <c r="AV565">
        <v>146</v>
      </c>
      <c r="AW565">
        <v>3</v>
      </c>
      <c r="AX565" t="s">
        <v>74</v>
      </c>
      <c r="AY565" t="s">
        <v>74</v>
      </c>
      <c r="AZ565" t="s">
        <v>74</v>
      </c>
      <c r="BA565" t="s">
        <v>74</v>
      </c>
      <c r="BB565">
        <v>483</v>
      </c>
      <c r="BC565">
        <v>495</v>
      </c>
      <c r="BD565" t="s">
        <v>74</v>
      </c>
      <c r="BE565" t="s">
        <v>8425</v>
      </c>
      <c r="BF565" t="str">
        <f>HYPERLINK("http://dx.doi.org/10.1007/s00227-004-1452-1","http://dx.doi.org/10.1007/s00227-004-1452-1")</f>
        <v>http://dx.doi.org/10.1007/s00227-004-1452-1</v>
      </c>
      <c r="BG565" t="s">
        <v>74</v>
      </c>
      <c r="BH565" t="s">
        <v>74</v>
      </c>
      <c r="BI565">
        <v>13</v>
      </c>
      <c r="BJ565" t="s">
        <v>2011</v>
      </c>
      <c r="BK565" t="s">
        <v>95</v>
      </c>
      <c r="BL565" t="s">
        <v>2011</v>
      </c>
      <c r="BM565" t="s">
        <v>8426</v>
      </c>
      <c r="BN565" t="s">
        <v>74</v>
      </c>
      <c r="BO565" t="s">
        <v>74</v>
      </c>
      <c r="BP565" t="s">
        <v>74</v>
      </c>
      <c r="BQ565" t="s">
        <v>74</v>
      </c>
      <c r="BR565" t="s">
        <v>97</v>
      </c>
      <c r="BS565" t="s">
        <v>8427</v>
      </c>
      <c r="BT565" t="str">
        <f>HYPERLINK("https%3A%2F%2Fwww.webofscience.com%2Fwos%2Fwoscc%2Ffull-record%2FWOS:000226810300006","View Full Record in Web of Science")</f>
        <v>View Full Record in Web of Science</v>
      </c>
    </row>
    <row r="566" spans="1:72" x14ac:dyDescent="0.15">
      <c r="A566" t="s">
        <v>72</v>
      </c>
      <c r="B566" t="s">
        <v>8428</v>
      </c>
      <c r="C566" t="s">
        <v>74</v>
      </c>
      <c r="D566" t="s">
        <v>74</v>
      </c>
      <c r="E566" t="s">
        <v>74</v>
      </c>
      <c r="F566" t="s">
        <v>8428</v>
      </c>
      <c r="G566" t="s">
        <v>74</v>
      </c>
      <c r="H566" t="s">
        <v>74</v>
      </c>
      <c r="I566" t="s">
        <v>8429</v>
      </c>
      <c r="J566" t="s">
        <v>1999</v>
      </c>
      <c r="K566" t="s">
        <v>74</v>
      </c>
      <c r="L566" t="s">
        <v>74</v>
      </c>
      <c r="M566" t="s">
        <v>77</v>
      </c>
      <c r="N566" t="s">
        <v>78</v>
      </c>
      <c r="O566" t="s">
        <v>74</v>
      </c>
      <c r="P566" t="s">
        <v>74</v>
      </c>
      <c r="Q566" t="s">
        <v>74</v>
      </c>
      <c r="R566" t="s">
        <v>74</v>
      </c>
      <c r="S566" t="s">
        <v>74</v>
      </c>
      <c r="T566" t="s">
        <v>74</v>
      </c>
      <c r="U566" t="s">
        <v>8430</v>
      </c>
      <c r="V566" t="s">
        <v>8431</v>
      </c>
      <c r="W566" t="s">
        <v>8432</v>
      </c>
      <c r="X566" t="s">
        <v>8433</v>
      </c>
      <c r="Y566" t="s">
        <v>8434</v>
      </c>
      <c r="Z566" t="s">
        <v>8435</v>
      </c>
      <c r="AA566" t="s">
        <v>8436</v>
      </c>
      <c r="AB566" t="s">
        <v>8437</v>
      </c>
      <c r="AC566" t="s">
        <v>74</v>
      </c>
      <c r="AD566" t="s">
        <v>74</v>
      </c>
      <c r="AE566" t="s">
        <v>74</v>
      </c>
      <c r="AF566" t="s">
        <v>74</v>
      </c>
      <c r="AG566">
        <v>43</v>
      </c>
      <c r="AH566">
        <v>72</v>
      </c>
      <c r="AI566">
        <v>78</v>
      </c>
      <c r="AJ566">
        <v>0</v>
      </c>
      <c r="AK566">
        <v>20</v>
      </c>
      <c r="AL566" t="s">
        <v>1789</v>
      </c>
      <c r="AM566" t="s">
        <v>1790</v>
      </c>
      <c r="AN566" t="s">
        <v>1791</v>
      </c>
      <c r="AO566" t="s">
        <v>2007</v>
      </c>
      <c r="AP566" t="s">
        <v>2021</v>
      </c>
      <c r="AQ566" t="s">
        <v>74</v>
      </c>
      <c r="AR566" t="s">
        <v>2008</v>
      </c>
      <c r="AS566" t="s">
        <v>2009</v>
      </c>
      <c r="AT566" t="s">
        <v>7383</v>
      </c>
      <c r="AU566">
        <v>2005</v>
      </c>
      <c r="AV566">
        <v>146</v>
      </c>
      <c r="AW566">
        <v>3</v>
      </c>
      <c r="AX566" t="s">
        <v>74</v>
      </c>
      <c r="AY566" t="s">
        <v>74</v>
      </c>
      <c r="AZ566" t="s">
        <v>74</v>
      </c>
      <c r="BA566" t="s">
        <v>74</v>
      </c>
      <c r="BB566">
        <v>619</v>
      </c>
      <c r="BC566">
        <v>624</v>
      </c>
      <c r="BD566" t="s">
        <v>74</v>
      </c>
      <c r="BE566" t="s">
        <v>8438</v>
      </c>
      <c r="BF566" t="str">
        <f>HYPERLINK("http://dx.doi.org/10.1007/s00227-004-1461-0","http://dx.doi.org/10.1007/s00227-004-1461-0")</f>
        <v>http://dx.doi.org/10.1007/s00227-004-1461-0</v>
      </c>
      <c r="BG566" t="s">
        <v>74</v>
      </c>
      <c r="BH566" t="s">
        <v>74</v>
      </c>
      <c r="BI566">
        <v>6</v>
      </c>
      <c r="BJ566" t="s">
        <v>2011</v>
      </c>
      <c r="BK566" t="s">
        <v>95</v>
      </c>
      <c r="BL566" t="s">
        <v>2011</v>
      </c>
      <c r="BM566" t="s">
        <v>8426</v>
      </c>
      <c r="BN566" t="s">
        <v>74</v>
      </c>
      <c r="BO566" t="s">
        <v>74</v>
      </c>
      <c r="BP566" t="s">
        <v>74</v>
      </c>
      <c r="BQ566" t="s">
        <v>74</v>
      </c>
      <c r="BR566" t="s">
        <v>97</v>
      </c>
      <c r="BS566" t="s">
        <v>8439</v>
      </c>
      <c r="BT566" t="str">
        <f>HYPERLINK("https%3A%2F%2Fwww.webofscience.com%2Fwos%2Fwoscc%2Ffull-record%2FWOS:000226810300016","View Full Record in Web of Science")</f>
        <v>View Full Record in Web of Science</v>
      </c>
    </row>
    <row r="567" spans="1:72" x14ac:dyDescent="0.15">
      <c r="A567" t="s">
        <v>72</v>
      </c>
      <c r="B567" t="s">
        <v>8440</v>
      </c>
      <c r="C567" t="s">
        <v>74</v>
      </c>
      <c r="D567" t="s">
        <v>74</v>
      </c>
      <c r="E567" t="s">
        <v>74</v>
      </c>
      <c r="F567" t="s">
        <v>8440</v>
      </c>
      <c r="G567" t="s">
        <v>74</v>
      </c>
      <c r="H567" t="s">
        <v>74</v>
      </c>
      <c r="I567" t="s">
        <v>8441</v>
      </c>
      <c r="J567" t="s">
        <v>1999</v>
      </c>
      <c r="K567" t="s">
        <v>74</v>
      </c>
      <c r="L567" t="s">
        <v>74</v>
      </c>
      <c r="M567" t="s">
        <v>77</v>
      </c>
      <c r="N567" t="s">
        <v>78</v>
      </c>
      <c r="O567" t="s">
        <v>74</v>
      </c>
      <c r="P567" t="s">
        <v>74</v>
      </c>
      <c r="Q567" t="s">
        <v>74</v>
      </c>
      <c r="R567" t="s">
        <v>74</v>
      </c>
      <c r="S567" t="s">
        <v>74</v>
      </c>
      <c r="T567" t="s">
        <v>74</v>
      </c>
      <c r="U567" t="s">
        <v>8442</v>
      </c>
      <c r="V567" t="s">
        <v>8443</v>
      </c>
      <c r="W567" t="s">
        <v>8444</v>
      </c>
      <c r="X567" t="s">
        <v>671</v>
      </c>
      <c r="Y567" t="s">
        <v>8445</v>
      </c>
      <c r="Z567" t="s">
        <v>6614</v>
      </c>
      <c r="AA567" t="s">
        <v>74</v>
      </c>
      <c r="AB567" t="s">
        <v>74</v>
      </c>
      <c r="AC567" t="s">
        <v>74</v>
      </c>
      <c r="AD567" t="s">
        <v>74</v>
      </c>
      <c r="AE567" t="s">
        <v>74</v>
      </c>
      <c r="AF567" t="s">
        <v>74</v>
      </c>
      <c r="AG567">
        <v>34</v>
      </c>
      <c r="AH567">
        <v>8</v>
      </c>
      <c r="AI567">
        <v>10</v>
      </c>
      <c r="AJ567">
        <v>0</v>
      </c>
      <c r="AK567">
        <v>8</v>
      </c>
      <c r="AL567" t="s">
        <v>1789</v>
      </c>
      <c r="AM567" t="s">
        <v>1790</v>
      </c>
      <c r="AN567" t="s">
        <v>1791</v>
      </c>
      <c r="AO567" t="s">
        <v>2007</v>
      </c>
      <c r="AP567" t="s">
        <v>2021</v>
      </c>
      <c r="AQ567" t="s">
        <v>74</v>
      </c>
      <c r="AR567" t="s">
        <v>2008</v>
      </c>
      <c r="AS567" t="s">
        <v>2009</v>
      </c>
      <c r="AT567" t="s">
        <v>7383</v>
      </c>
      <c r="AU567">
        <v>2005</v>
      </c>
      <c r="AV567">
        <v>146</v>
      </c>
      <c r="AW567">
        <v>3</v>
      </c>
      <c r="AX567" t="s">
        <v>74</v>
      </c>
      <c r="AY567" t="s">
        <v>74</v>
      </c>
      <c r="AZ567" t="s">
        <v>74</v>
      </c>
      <c r="BA567" t="s">
        <v>74</v>
      </c>
      <c r="BB567">
        <v>625</v>
      </c>
      <c r="BC567">
        <v>632</v>
      </c>
      <c r="BD567" t="s">
        <v>74</v>
      </c>
      <c r="BE567" t="s">
        <v>8446</v>
      </c>
      <c r="BF567" t="str">
        <f>HYPERLINK("http://dx.doi.org/10.1007/s00227-004-1451-2","http://dx.doi.org/10.1007/s00227-004-1451-2")</f>
        <v>http://dx.doi.org/10.1007/s00227-004-1451-2</v>
      </c>
      <c r="BG567" t="s">
        <v>74</v>
      </c>
      <c r="BH567" t="s">
        <v>74</v>
      </c>
      <c r="BI567">
        <v>8</v>
      </c>
      <c r="BJ567" t="s">
        <v>2011</v>
      </c>
      <c r="BK567" t="s">
        <v>95</v>
      </c>
      <c r="BL567" t="s">
        <v>2011</v>
      </c>
      <c r="BM567" t="s">
        <v>8426</v>
      </c>
      <c r="BN567" t="s">
        <v>74</v>
      </c>
      <c r="BO567" t="s">
        <v>74</v>
      </c>
      <c r="BP567" t="s">
        <v>74</v>
      </c>
      <c r="BQ567" t="s">
        <v>74</v>
      </c>
      <c r="BR567" t="s">
        <v>97</v>
      </c>
      <c r="BS567" t="s">
        <v>8447</v>
      </c>
      <c r="BT567" t="str">
        <f>HYPERLINK("https%3A%2F%2Fwww.webofscience.com%2Fwos%2Fwoscc%2Ffull-record%2FWOS:000226810300017","View Full Record in Web of Science")</f>
        <v>View Full Record in Web of Science</v>
      </c>
    </row>
    <row r="568" spans="1:72" x14ac:dyDescent="0.15">
      <c r="A568" t="s">
        <v>72</v>
      </c>
      <c r="B568" t="s">
        <v>8448</v>
      </c>
      <c r="C568" t="s">
        <v>74</v>
      </c>
      <c r="D568" t="s">
        <v>74</v>
      </c>
      <c r="E568" t="s">
        <v>74</v>
      </c>
      <c r="F568" t="s">
        <v>8448</v>
      </c>
      <c r="G568" t="s">
        <v>74</v>
      </c>
      <c r="H568" t="s">
        <v>74</v>
      </c>
      <c r="I568" t="s">
        <v>8449</v>
      </c>
      <c r="J568" t="s">
        <v>6675</v>
      </c>
      <c r="K568" t="s">
        <v>74</v>
      </c>
      <c r="L568" t="s">
        <v>74</v>
      </c>
      <c r="M568" t="s">
        <v>77</v>
      </c>
      <c r="N568" t="s">
        <v>78</v>
      </c>
      <c r="O568" t="s">
        <v>74</v>
      </c>
      <c r="P568" t="s">
        <v>74</v>
      </c>
      <c r="Q568" t="s">
        <v>74</v>
      </c>
      <c r="R568" t="s">
        <v>74</v>
      </c>
      <c r="S568" t="s">
        <v>74</v>
      </c>
      <c r="T568" t="s">
        <v>8450</v>
      </c>
      <c r="U568" t="s">
        <v>8451</v>
      </c>
      <c r="V568" t="s">
        <v>8452</v>
      </c>
      <c r="W568" t="s">
        <v>8453</v>
      </c>
      <c r="X568" t="s">
        <v>8454</v>
      </c>
      <c r="Y568" t="s">
        <v>8455</v>
      </c>
      <c r="Z568" t="s">
        <v>8456</v>
      </c>
      <c r="AA568" t="s">
        <v>8457</v>
      </c>
      <c r="AB568" t="s">
        <v>8458</v>
      </c>
      <c r="AC568" t="s">
        <v>74</v>
      </c>
      <c r="AD568" t="s">
        <v>74</v>
      </c>
      <c r="AE568" t="s">
        <v>74</v>
      </c>
      <c r="AF568" t="s">
        <v>74</v>
      </c>
      <c r="AG568">
        <v>55</v>
      </c>
      <c r="AH568">
        <v>257</v>
      </c>
      <c r="AI568">
        <v>287</v>
      </c>
      <c r="AJ568">
        <v>1</v>
      </c>
      <c r="AK568">
        <v>68</v>
      </c>
      <c r="AL568" t="s">
        <v>255</v>
      </c>
      <c r="AM568" t="s">
        <v>256</v>
      </c>
      <c r="AN568" t="s">
        <v>257</v>
      </c>
      <c r="AO568" t="s">
        <v>6682</v>
      </c>
      <c r="AP568" t="s">
        <v>6683</v>
      </c>
      <c r="AQ568" t="s">
        <v>74</v>
      </c>
      <c r="AR568" t="s">
        <v>6684</v>
      </c>
      <c r="AS568" t="s">
        <v>6685</v>
      </c>
      <c r="AT568" t="s">
        <v>7383</v>
      </c>
      <c r="AU568">
        <v>2005</v>
      </c>
      <c r="AV568">
        <v>50</v>
      </c>
      <c r="AW568">
        <v>2</v>
      </c>
      <c r="AX568" t="s">
        <v>74</v>
      </c>
      <c r="AY568" t="s">
        <v>74</v>
      </c>
      <c r="AZ568" t="s">
        <v>74</v>
      </c>
      <c r="BA568" t="s">
        <v>74</v>
      </c>
      <c r="BB568">
        <v>185</v>
      </c>
      <c r="BC568">
        <v>194</v>
      </c>
      <c r="BD568" t="s">
        <v>74</v>
      </c>
      <c r="BE568" t="s">
        <v>8459</v>
      </c>
      <c r="BF568" t="str">
        <f>HYPERLINK("http://dx.doi.org/10.1016/j.marpolbul.2004.10.009","http://dx.doi.org/10.1016/j.marpolbul.2004.10.009")</f>
        <v>http://dx.doi.org/10.1016/j.marpolbul.2004.10.009</v>
      </c>
      <c r="BG568" t="s">
        <v>74</v>
      </c>
      <c r="BH568" t="s">
        <v>74</v>
      </c>
      <c r="BI568">
        <v>10</v>
      </c>
      <c r="BJ568" t="s">
        <v>4448</v>
      </c>
      <c r="BK568" t="s">
        <v>95</v>
      </c>
      <c r="BL568" t="s">
        <v>942</v>
      </c>
      <c r="BM568" t="s">
        <v>8460</v>
      </c>
      <c r="BN568">
        <v>15737360</v>
      </c>
      <c r="BO568" t="s">
        <v>750</v>
      </c>
      <c r="BP568" t="s">
        <v>74</v>
      </c>
      <c r="BQ568" t="s">
        <v>74</v>
      </c>
      <c r="BR568" t="s">
        <v>97</v>
      </c>
      <c r="BS568" t="s">
        <v>8461</v>
      </c>
      <c r="BT568" t="str">
        <f>HYPERLINK("https%3A%2F%2Fwww.webofscience.com%2Fwos%2Fwoscc%2Ffull-record%2FWOS:000227762000019","View Full Record in Web of Science")</f>
        <v>View Full Record in Web of Science</v>
      </c>
    </row>
    <row r="569" spans="1:72" x14ac:dyDescent="0.15">
      <c r="A569" t="s">
        <v>72</v>
      </c>
      <c r="B569" t="s">
        <v>8462</v>
      </c>
      <c r="C569" t="s">
        <v>74</v>
      </c>
      <c r="D569" t="s">
        <v>74</v>
      </c>
      <c r="E569" t="s">
        <v>74</v>
      </c>
      <c r="F569" t="s">
        <v>8462</v>
      </c>
      <c r="G569" t="s">
        <v>74</v>
      </c>
      <c r="H569" t="s">
        <v>74</v>
      </c>
      <c r="I569" t="s">
        <v>8463</v>
      </c>
      <c r="J569" t="s">
        <v>2056</v>
      </c>
      <c r="K569" t="s">
        <v>74</v>
      </c>
      <c r="L569" t="s">
        <v>74</v>
      </c>
      <c r="M569" t="s">
        <v>77</v>
      </c>
      <c r="N569" t="s">
        <v>78</v>
      </c>
      <c r="O569" t="s">
        <v>74</v>
      </c>
      <c r="P569" t="s">
        <v>74</v>
      </c>
      <c r="Q569" t="s">
        <v>74</v>
      </c>
      <c r="R569" t="s">
        <v>74</v>
      </c>
      <c r="S569" t="s">
        <v>74</v>
      </c>
      <c r="T569" t="s">
        <v>74</v>
      </c>
      <c r="U569" t="s">
        <v>8464</v>
      </c>
      <c r="V569" t="s">
        <v>8465</v>
      </c>
      <c r="W569" t="s">
        <v>8466</v>
      </c>
      <c r="X569" t="s">
        <v>8467</v>
      </c>
      <c r="Y569" t="s">
        <v>8468</v>
      </c>
      <c r="Z569" t="s">
        <v>8469</v>
      </c>
      <c r="AA569" t="s">
        <v>74</v>
      </c>
      <c r="AB569" t="s">
        <v>8470</v>
      </c>
      <c r="AC569" t="s">
        <v>74</v>
      </c>
      <c r="AD569" t="s">
        <v>74</v>
      </c>
      <c r="AE569" t="s">
        <v>74</v>
      </c>
      <c r="AF569" t="s">
        <v>74</v>
      </c>
      <c r="AG569">
        <v>30</v>
      </c>
      <c r="AH569">
        <v>54</v>
      </c>
      <c r="AI569">
        <v>56</v>
      </c>
      <c r="AJ569">
        <v>0</v>
      </c>
      <c r="AK569">
        <v>6</v>
      </c>
      <c r="AL569" t="s">
        <v>8471</v>
      </c>
      <c r="AM569" t="s">
        <v>8472</v>
      </c>
      <c r="AN569" t="s">
        <v>8473</v>
      </c>
      <c r="AO569" t="s">
        <v>2063</v>
      </c>
      <c r="AP569" t="s">
        <v>74</v>
      </c>
      <c r="AQ569" t="s">
        <v>74</v>
      </c>
      <c r="AR569" t="s">
        <v>2065</v>
      </c>
      <c r="AS569" t="s">
        <v>2066</v>
      </c>
      <c r="AT569" t="s">
        <v>7383</v>
      </c>
      <c r="AU569">
        <v>2005</v>
      </c>
      <c r="AV569">
        <v>40</v>
      </c>
      <c r="AW569">
        <v>2</v>
      </c>
      <c r="AX569" t="s">
        <v>74</v>
      </c>
      <c r="AY569" t="s">
        <v>74</v>
      </c>
      <c r="AZ569" t="s">
        <v>74</v>
      </c>
      <c r="BA569" t="s">
        <v>74</v>
      </c>
      <c r="BB569">
        <v>225</v>
      </c>
      <c r="BC569">
        <v>238</v>
      </c>
      <c r="BD569" t="s">
        <v>74</v>
      </c>
      <c r="BE569" t="s">
        <v>8474</v>
      </c>
      <c r="BF569" t="str">
        <f>HYPERLINK("http://dx.doi.org/10.1111/j.1945-5100.2005.tb00377.x","http://dx.doi.org/10.1111/j.1945-5100.2005.tb00377.x")</f>
        <v>http://dx.doi.org/10.1111/j.1945-5100.2005.tb00377.x</v>
      </c>
      <c r="BG569" t="s">
        <v>74</v>
      </c>
      <c r="BH569" t="s">
        <v>74</v>
      </c>
      <c r="BI569">
        <v>14</v>
      </c>
      <c r="BJ569" t="s">
        <v>381</v>
      </c>
      <c r="BK569" t="s">
        <v>95</v>
      </c>
      <c r="BL569" t="s">
        <v>381</v>
      </c>
      <c r="BM569" t="s">
        <v>8475</v>
      </c>
      <c r="BN569" t="s">
        <v>74</v>
      </c>
      <c r="BO569" t="s">
        <v>539</v>
      </c>
      <c r="BP569" t="s">
        <v>74</v>
      </c>
      <c r="BQ569" t="s">
        <v>74</v>
      </c>
      <c r="BR569" t="s">
        <v>97</v>
      </c>
      <c r="BS569" t="s">
        <v>8476</v>
      </c>
      <c r="BT569" t="str">
        <f>HYPERLINK("https%3A%2F%2Fwww.webofscience.com%2Fwos%2Fwoscc%2Ffull-record%2FWOS:000228968000006","View Full Record in Web of Science")</f>
        <v>View Full Record in Web of Science</v>
      </c>
    </row>
    <row r="570" spans="1:72" x14ac:dyDescent="0.15">
      <c r="A570" t="s">
        <v>72</v>
      </c>
      <c r="B570" t="s">
        <v>8477</v>
      </c>
      <c r="C570" t="s">
        <v>74</v>
      </c>
      <c r="D570" t="s">
        <v>74</v>
      </c>
      <c r="E570" t="s">
        <v>74</v>
      </c>
      <c r="F570" t="s">
        <v>8477</v>
      </c>
      <c r="G570" t="s">
        <v>74</v>
      </c>
      <c r="H570" t="s">
        <v>74</v>
      </c>
      <c r="I570" t="s">
        <v>8478</v>
      </c>
      <c r="J570" t="s">
        <v>3789</v>
      </c>
      <c r="K570" t="s">
        <v>74</v>
      </c>
      <c r="L570" t="s">
        <v>74</v>
      </c>
      <c r="M570" t="s">
        <v>77</v>
      </c>
      <c r="N570" t="s">
        <v>78</v>
      </c>
      <c r="O570" t="s">
        <v>74</v>
      </c>
      <c r="P570" t="s">
        <v>74</v>
      </c>
      <c r="Q570" t="s">
        <v>74</v>
      </c>
      <c r="R570" t="s">
        <v>74</v>
      </c>
      <c r="S570" t="s">
        <v>74</v>
      </c>
      <c r="T570" t="s">
        <v>8479</v>
      </c>
      <c r="U570" t="s">
        <v>8480</v>
      </c>
      <c r="V570" t="s">
        <v>8481</v>
      </c>
      <c r="W570" t="s">
        <v>8482</v>
      </c>
      <c r="X570" t="s">
        <v>2951</v>
      </c>
      <c r="Y570" t="s">
        <v>8483</v>
      </c>
      <c r="Z570" t="s">
        <v>8484</v>
      </c>
      <c r="AA570" t="s">
        <v>8485</v>
      </c>
      <c r="AB570" t="s">
        <v>8486</v>
      </c>
      <c r="AC570" t="s">
        <v>74</v>
      </c>
      <c r="AD570" t="s">
        <v>74</v>
      </c>
      <c r="AE570" t="s">
        <v>74</v>
      </c>
      <c r="AF570" t="s">
        <v>74</v>
      </c>
      <c r="AG570">
        <v>66</v>
      </c>
      <c r="AH570">
        <v>391</v>
      </c>
      <c r="AI570">
        <v>453</v>
      </c>
      <c r="AJ570">
        <v>0</v>
      </c>
      <c r="AK570">
        <v>100</v>
      </c>
      <c r="AL570" t="s">
        <v>472</v>
      </c>
      <c r="AM570" t="s">
        <v>473</v>
      </c>
      <c r="AN570" t="s">
        <v>474</v>
      </c>
      <c r="AO570" t="s">
        <v>3799</v>
      </c>
      <c r="AP570" t="s">
        <v>4962</v>
      </c>
      <c r="AQ570" t="s">
        <v>74</v>
      </c>
      <c r="AR570" t="s">
        <v>3800</v>
      </c>
      <c r="AS570" t="s">
        <v>3801</v>
      </c>
      <c r="AT570" t="s">
        <v>7383</v>
      </c>
      <c r="AU570">
        <v>2005</v>
      </c>
      <c r="AV570">
        <v>14</v>
      </c>
      <c r="AW570">
        <v>2</v>
      </c>
      <c r="AX570" t="s">
        <v>74</v>
      </c>
      <c r="AY570" t="s">
        <v>74</v>
      </c>
      <c r="AZ570" t="s">
        <v>74</v>
      </c>
      <c r="BA570" t="s">
        <v>74</v>
      </c>
      <c r="BB570">
        <v>599</v>
      </c>
      <c r="BC570">
        <v>612</v>
      </c>
      <c r="BD570" t="s">
        <v>74</v>
      </c>
      <c r="BE570" t="s">
        <v>8487</v>
      </c>
      <c r="BF570" t="str">
        <f>HYPERLINK("http://dx.doi.org/10.1111/j.1365-294X.2004.02419.x","http://dx.doi.org/10.1111/j.1365-294X.2004.02419.x")</f>
        <v>http://dx.doi.org/10.1111/j.1365-294X.2004.02419.x</v>
      </c>
      <c r="BG570" t="s">
        <v>74</v>
      </c>
      <c r="BH570" t="s">
        <v>74</v>
      </c>
      <c r="BI570">
        <v>14</v>
      </c>
      <c r="BJ570" t="s">
        <v>3803</v>
      </c>
      <c r="BK570" t="s">
        <v>95</v>
      </c>
      <c r="BL570" t="s">
        <v>3804</v>
      </c>
      <c r="BM570" t="s">
        <v>8488</v>
      </c>
      <c r="BN570">
        <v>15660949</v>
      </c>
      <c r="BO570" t="s">
        <v>74</v>
      </c>
      <c r="BP570" t="s">
        <v>74</v>
      </c>
      <c r="BQ570" t="s">
        <v>74</v>
      </c>
      <c r="BR570" t="s">
        <v>97</v>
      </c>
      <c r="BS570" t="s">
        <v>8489</v>
      </c>
      <c r="BT570" t="str">
        <f>HYPERLINK("https%3A%2F%2Fwww.webofscience.com%2Fwos%2Fwoscc%2Ffull-record%2FWOS:000226928500020","View Full Record in Web of Science")</f>
        <v>View Full Record in Web of Science</v>
      </c>
    </row>
    <row r="571" spans="1:72" x14ac:dyDescent="0.15">
      <c r="A571" t="s">
        <v>72</v>
      </c>
      <c r="B571" t="s">
        <v>8490</v>
      </c>
      <c r="C571" t="s">
        <v>74</v>
      </c>
      <c r="D571" t="s">
        <v>74</v>
      </c>
      <c r="E571" t="s">
        <v>74</v>
      </c>
      <c r="F571" t="s">
        <v>8490</v>
      </c>
      <c r="G571" t="s">
        <v>74</v>
      </c>
      <c r="H571" t="s">
        <v>74</v>
      </c>
      <c r="I571" t="s">
        <v>8491</v>
      </c>
      <c r="J571" t="s">
        <v>386</v>
      </c>
      <c r="K571" t="s">
        <v>74</v>
      </c>
      <c r="L571" t="s">
        <v>74</v>
      </c>
      <c r="M571" t="s">
        <v>77</v>
      </c>
      <c r="N571" t="s">
        <v>78</v>
      </c>
      <c r="O571" t="s">
        <v>74</v>
      </c>
      <c r="P571" t="s">
        <v>74</v>
      </c>
      <c r="Q571" t="s">
        <v>74</v>
      </c>
      <c r="R571" t="s">
        <v>74</v>
      </c>
      <c r="S571" t="s">
        <v>74</v>
      </c>
      <c r="T571" t="s">
        <v>74</v>
      </c>
      <c r="U571" t="s">
        <v>8492</v>
      </c>
      <c r="V571" t="s">
        <v>8493</v>
      </c>
      <c r="W571" t="s">
        <v>8494</v>
      </c>
      <c r="X571" t="s">
        <v>8495</v>
      </c>
      <c r="Y571" t="s">
        <v>8496</v>
      </c>
      <c r="Z571" t="s">
        <v>8497</v>
      </c>
      <c r="AA571" t="s">
        <v>8498</v>
      </c>
      <c r="AB571" t="s">
        <v>8499</v>
      </c>
      <c r="AC571" t="s">
        <v>74</v>
      </c>
      <c r="AD571" t="s">
        <v>74</v>
      </c>
      <c r="AE571" t="s">
        <v>74</v>
      </c>
      <c r="AF571" t="s">
        <v>74</v>
      </c>
      <c r="AG571">
        <v>29</v>
      </c>
      <c r="AH571">
        <v>82</v>
      </c>
      <c r="AI571">
        <v>86</v>
      </c>
      <c r="AJ571">
        <v>2</v>
      </c>
      <c r="AK571">
        <v>32</v>
      </c>
      <c r="AL571" t="s">
        <v>394</v>
      </c>
      <c r="AM571" t="s">
        <v>395</v>
      </c>
      <c r="AN571" t="s">
        <v>396</v>
      </c>
      <c r="AO571" t="s">
        <v>397</v>
      </c>
      <c r="AP571" t="s">
        <v>74</v>
      </c>
      <c r="AQ571" t="s">
        <v>74</v>
      </c>
      <c r="AR571" t="s">
        <v>398</v>
      </c>
      <c r="AS571" t="s">
        <v>399</v>
      </c>
      <c r="AT571" t="s">
        <v>7383</v>
      </c>
      <c r="AU571">
        <v>2005</v>
      </c>
      <c r="AV571">
        <v>57</v>
      </c>
      <c r="AW571">
        <v>1</v>
      </c>
      <c r="AX571" t="s">
        <v>74</v>
      </c>
      <c r="AY571" t="s">
        <v>74</v>
      </c>
      <c r="AZ571" t="s">
        <v>74</v>
      </c>
      <c r="BA571" t="s">
        <v>74</v>
      </c>
      <c r="BB571">
        <v>51</v>
      </c>
      <c r="BC571">
        <v>57</v>
      </c>
      <c r="BD571" t="s">
        <v>74</v>
      </c>
      <c r="BE571" t="s">
        <v>8500</v>
      </c>
      <c r="BF571" t="str">
        <f>HYPERLINK("http://dx.doi.org/10.1111/j.1600-0889.2005.00131.x","http://dx.doi.org/10.1111/j.1600-0889.2005.00131.x")</f>
        <v>http://dx.doi.org/10.1111/j.1600-0889.2005.00131.x</v>
      </c>
      <c r="BG571" t="s">
        <v>74</v>
      </c>
      <c r="BH571" t="s">
        <v>74</v>
      </c>
      <c r="BI571">
        <v>7</v>
      </c>
      <c r="BJ571" t="s">
        <v>401</v>
      </c>
      <c r="BK571" t="s">
        <v>95</v>
      </c>
      <c r="BL571" t="s">
        <v>401</v>
      </c>
      <c r="BM571" t="s">
        <v>8501</v>
      </c>
      <c r="BN571" t="s">
        <v>74</v>
      </c>
      <c r="BO571" t="s">
        <v>750</v>
      </c>
      <c r="BP571" t="s">
        <v>74</v>
      </c>
      <c r="BQ571" t="s">
        <v>74</v>
      </c>
      <c r="BR571" t="s">
        <v>97</v>
      </c>
      <c r="BS571" t="s">
        <v>8502</v>
      </c>
      <c r="BT571" t="str">
        <f>HYPERLINK("https%3A%2F%2Fwww.webofscience.com%2Fwos%2Fwoscc%2Ffull-record%2FWOS:000226514000005","View Full Record in Web of Science")</f>
        <v>View Full Record in Web of Science</v>
      </c>
    </row>
    <row r="572" spans="1:72" x14ac:dyDescent="0.15">
      <c r="A572" t="s">
        <v>72</v>
      </c>
      <c r="B572" t="s">
        <v>8503</v>
      </c>
      <c r="C572" t="s">
        <v>74</v>
      </c>
      <c r="D572" t="s">
        <v>74</v>
      </c>
      <c r="E572" t="s">
        <v>74</v>
      </c>
      <c r="F572" t="s">
        <v>8503</v>
      </c>
      <c r="G572" t="s">
        <v>74</v>
      </c>
      <c r="H572" t="s">
        <v>74</v>
      </c>
      <c r="I572" t="s">
        <v>8504</v>
      </c>
      <c r="J572" t="s">
        <v>386</v>
      </c>
      <c r="K572" t="s">
        <v>74</v>
      </c>
      <c r="L572" t="s">
        <v>74</v>
      </c>
      <c r="M572" t="s">
        <v>77</v>
      </c>
      <c r="N572" t="s">
        <v>78</v>
      </c>
      <c r="O572" t="s">
        <v>74</v>
      </c>
      <c r="P572" t="s">
        <v>74</v>
      </c>
      <c r="Q572" t="s">
        <v>74</v>
      </c>
      <c r="R572" t="s">
        <v>74</v>
      </c>
      <c r="S572" t="s">
        <v>74</v>
      </c>
      <c r="T572" t="s">
        <v>74</v>
      </c>
      <c r="U572" t="s">
        <v>8505</v>
      </c>
      <c r="V572" t="s">
        <v>8506</v>
      </c>
      <c r="W572" t="s">
        <v>8507</v>
      </c>
      <c r="X572" t="s">
        <v>8508</v>
      </c>
      <c r="Y572" t="s">
        <v>8509</v>
      </c>
      <c r="Z572" t="s">
        <v>8510</v>
      </c>
      <c r="AA572" t="s">
        <v>8511</v>
      </c>
      <c r="AB572" t="s">
        <v>8512</v>
      </c>
      <c r="AC572" t="s">
        <v>74</v>
      </c>
      <c r="AD572" t="s">
        <v>74</v>
      </c>
      <c r="AE572" t="s">
        <v>74</v>
      </c>
      <c r="AF572" t="s">
        <v>74</v>
      </c>
      <c r="AG572">
        <v>47</v>
      </c>
      <c r="AH572">
        <v>32</v>
      </c>
      <c r="AI572">
        <v>36</v>
      </c>
      <c r="AJ572">
        <v>0</v>
      </c>
      <c r="AK572">
        <v>3</v>
      </c>
      <c r="AL572" t="s">
        <v>394</v>
      </c>
      <c r="AM572" t="s">
        <v>395</v>
      </c>
      <c r="AN572" t="s">
        <v>396</v>
      </c>
      <c r="AO572" t="s">
        <v>397</v>
      </c>
      <c r="AP572" t="s">
        <v>74</v>
      </c>
      <c r="AQ572" t="s">
        <v>74</v>
      </c>
      <c r="AR572" t="s">
        <v>398</v>
      </c>
      <c r="AS572" t="s">
        <v>399</v>
      </c>
      <c r="AT572" t="s">
        <v>7383</v>
      </c>
      <c r="AU572">
        <v>2005</v>
      </c>
      <c r="AV572">
        <v>57</v>
      </c>
      <c r="AW572">
        <v>1</v>
      </c>
      <c r="AX572" t="s">
        <v>74</v>
      </c>
      <c r="AY572" t="s">
        <v>74</v>
      </c>
      <c r="AZ572" t="s">
        <v>74</v>
      </c>
      <c r="BA572" t="s">
        <v>74</v>
      </c>
      <c r="BB572">
        <v>58</v>
      </c>
      <c r="BC572">
        <v>69</v>
      </c>
      <c r="BD572" t="s">
        <v>74</v>
      </c>
      <c r="BE572" t="s">
        <v>8513</v>
      </c>
      <c r="BF572" t="str">
        <f>HYPERLINK("http://dx.doi.org/10.1111/j.1600-0889.2005.00130.x","http://dx.doi.org/10.1111/j.1600-0889.2005.00130.x")</f>
        <v>http://dx.doi.org/10.1111/j.1600-0889.2005.00130.x</v>
      </c>
      <c r="BG572" t="s">
        <v>74</v>
      </c>
      <c r="BH572" t="s">
        <v>74</v>
      </c>
      <c r="BI572">
        <v>12</v>
      </c>
      <c r="BJ572" t="s">
        <v>401</v>
      </c>
      <c r="BK572" t="s">
        <v>95</v>
      </c>
      <c r="BL572" t="s">
        <v>401</v>
      </c>
      <c r="BM572" t="s">
        <v>8501</v>
      </c>
      <c r="BN572" t="s">
        <v>74</v>
      </c>
      <c r="BO572" t="s">
        <v>74</v>
      </c>
      <c r="BP572" t="s">
        <v>74</v>
      </c>
      <c r="BQ572" t="s">
        <v>74</v>
      </c>
      <c r="BR572" t="s">
        <v>97</v>
      </c>
      <c r="BS572" t="s">
        <v>8514</v>
      </c>
      <c r="BT572" t="str">
        <f>HYPERLINK("https%3A%2F%2Fwww.webofscience.com%2Fwos%2Fwoscc%2Ffull-record%2FWOS:000226514000006","View Full Record in Web of Science")</f>
        <v>View Full Record in Web of Science</v>
      </c>
    </row>
    <row r="573" spans="1:72" x14ac:dyDescent="0.15">
      <c r="A573" t="s">
        <v>72</v>
      </c>
      <c r="B573" t="s">
        <v>8515</v>
      </c>
      <c r="C573" t="s">
        <v>74</v>
      </c>
      <c r="D573" t="s">
        <v>74</v>
      </c>
      <c r="E573" t="s">
        <v>74</v>
      </c>
      <c r="F573" t="s">
        <v>8515</v>
      </c>
      <c r="G573" t="s">
        <v>74</v>
      </c>
      <c r="H573" t="s">
        <v>74</v>
      </c>
      <c r="I573" t="s">
        <v>8516</v>
      </c>
      <c r="J573" t="s">
        <v>8517</v>
      </c>
      <c r="K573" t="s">
        <v>74</v>
      </c>
      <c r="L573" t="s">
        <v>74</v>
      </c>
      <c r="M573" t="s">
        <v>8518</v>
      </c>
      <c r="N573" t="s">
        <v>78</v>
      </c>
      <c r="O573" t="s">
        <v>74</v>
      </c>
      <c r="P573" t="s">
        <v>74</v>
      </c>
      <c r="Q573" t="s">
        <v>74</v>
      </c>
      <c r="R573" t="s">
        <v>74</v>
      </c>
      <c r="S573" t="s">
        <v>74</v>
      </c>
      <c r="T573" t="s">
        <v>74</v>
      </c>
      <c r="U573" t="s">
        <v>8519</v>
      </c>
      <c r="V573" t="s">
        <v>8520</v>
      </c>
      <c r="W573" t="s">
        <v>5998</v>
      </c>
      <c r="X573" t="s">
        <v>5999</v>
      </c>
      <c r="Y573" t="s">
        <v>8521</v>
      </c>
      <c r="Z573" t="s">
        <v>8522</v>
      </c>
      <c r="AA573" t="s">
        <v>8523</v>
      </c>
      <c r="AB573" t="s">
        <v>74</v>
      </c>
      <c r="AC573" t="s">
        <v>74</v>
      </c>
      <c r="AD573" t="s">
        <v>74</v>
      </c>
      <c r="AE573" t="s">
        <v>74</v>
      </c>
      <c r="AF573" t="s">
        <v>74</v>
      </c>
      <c r="AG573">
        <v>40</v>
      </c>
      <c r="AH573">
        <v>1</v>
      </c>
      <c r="AI573">
        <v>2</v>
      </c>
      <c r="AJ573">
        <v>0</v>
      </c>
      <c r="AK573">
        <v>3</v>
      </c>
      <c r="AL573" t="s">
        <v>8524</v>
      </c>
      <c r="AM573" t="s">
        <v>8525</v>
      </c>
      <c r="AN573" t="s">
        <v>8526</v>
      </c>
      <c r="AO573" t="s">
        <v>8527</v>
      </c>
      <c r="AP573" t="s">
        <v>74</v>
      </c>
      <c r="AQ573" t="s">
        <v>74</v>
      </c>
      <c r="AR573" t="s">
        <v>8528</v>
      </c>
      <c r="AS573" t="s">
        <v>8529</v>
      </c>
      <c r="AT573" t="s">
        <v>7383</v>
      </c>
      <c r="AU573">
        <v>2005</v>
      </c>
      <c r="AV573">
        <v>84</v>
      </c>
      <c r="AW573">
        <v>2</v>
      </c>
      <c r="AX573" t="s">
        <v>74</v>
      </c>
      <c r="AY573" t="s">
        <v>74</v>
      </c>
      <c r="AZ573" t="s">
        <v>74</v>
      </c>
      <c r="BA573" t="s">
        <v>74</v>
      </c>
      <c r="BB573">
        <v>245</v>
      </c>
      <c r="BC573">
        <v>256</v>
      </c>
      <c r="BD573" t="s">
        <v>74</v>
      </c>
      <c r="BE573" t="s">
        <v>74</v>
      </c>
      <c r="BF573" t="s">
        <v>74</v>
      </c>
      <c r="BG573" t="s">
        <v>74</v>
      </c>
      <c r="BH573" t="s">
        <v>74</v>
      </c>
      <c r="BI573">
        <v>12</v>
      </c>
      <c r="BJ573" t="s">
        <v>2430</v>
      </c>
      <c r="BK573" t="s">
        <v>95</v>
      </c>
      <c r="BL573" t="s">
        <v>2430</v>
      </c>
      <c r="BM573" t="s">
        <v>8530</v>
      </c>
      <c r="BN573" t="s">
        <v>74</v>
      </c>
      <c r="BO573" t="s">
        <v>74</v>
      </c>
      <c r="BP573" t="s">
        <v>74</v>
      </c>
      <c r="BQ573" t="s">
        <v>74</v>
      </c>
      <c r="BR573" t="s">
        <v>97</v>
      </c>
      <c r="BS573" t="s">
        <v>8531</v>
      </c>
      <c r="BT573" t="str">
        <f>HYPERLINK("https%3A%2F%2Fwww.webofscience.com%2Fwos%2Fwoscc%2Ffull-record%2FWOS:000228002600010","View Full Record in Web of Science")</f>
        <v>View Full Record in Web of Science</v>
      </c>
    </row>
    <row r="574" spans="1:72" x14ac:dyDescent="0.15">
      <c r="A574" t="s">
        <v>72</v>
      </c>
      <c r="B574" t="s">
        <v>8532</v>
      </c>
      <c r="C574" t="s">
        <v>74</v>
      </c>
      <c r="D574" t="s">
        <v>74</v>
      </c>
      <c r="E574" t="s">
        <v>74</v>
      </c>
      <c r="F574" t="s">
        <v>8532</v>
      </c>
      <c r="G574" t="s">
        <v>74</v>
      </c>
      <c r="H574" t="s">
        <v>74</v>
      </c>
      <c r="I574" t="s">
        <v>8533</v>
      </c>
      <c r="J574" t="s">
        <v>425</v>
      </c>
      <c r="K574" t="s">
        <v>74</v>
      </c>
      <c r="L574" t="s">
        <v>74</v>
      </c>
      <c r="M574" t="s">
        <v>77</v>
      </c>
      <c r="N574" t="s">
        <v>78</v>
      </c>
      <c r="O574" t="s">
        <v>74</v>
      </c>
      <c r="P574" t="s">
        <v>74</v>
      </c>
      <c r="Q574" t="s">
        <v>74</v>
      </c>
      <c r="R574" t="s">
        <v>74</v>
      </c>
      <c r="S574" t="s">
        <v>74</v>
      </c>
      <c r="T574" t="s">
        <v>8534</v>
      </c>
      <c r="U574" t="s">
        <v>8535</v>
      </c>
      <c r="V574" t="s">
        <v>8536</v>
      </c>
      <c r="W574" t="s">
        <v>8537</v>
      </c>
      <c r="X574" t="s">
        <v>8538</v>
      </c>
      <c r="Y574" t="s">
        <v>8539</v>
      </c>
      <c r="Z574" t="s">
        <v>8540</v>
      </c>
      <c r="AA574" t="s">
        <v>8541</v>
      </c>
      <c r="AB574" t="s">
        <v>8542</v>
      </c>
      <c r="AC574" t="s">
        <v>74</v>
      </c>
      <c r="AD574" t="s">
        <v>74</v>
      </c>
      <c r="AE574" t="s">
        <v>74</v>
      </c>
      <c r="AF574" t="s">
        <v>74</v>
      </c>
      <c r="AG574">
        <v>65</v>
      </c>
      <c r="AH574">
        <v>74</v>
      </c>
      <c r="AI574">
        <v>84</v>
      </c>
      <c r="AJ574">
        <v>0</v>
      </c>
      <c r="AK574">
        <v>7</v>
      </c>
      <c r="AL574" t="s">
        <v>435</v>
      </c>
      <c r="AM574" t="s">
        <v>436</v>
      </c>
      <c r="AN574" t="s">
        <v>437</v>
      </c>
      <c r="AO574" t="s">
        <v>438</v>
      </c>
      <c r="AP574" t="s">
        <v>439</v>
      </c>
      <c r="AQ574" t="s">
        <v>74</v>
      </c>
      <c r="AR574" t="s">
        <v>440</v>
      </c>
      <c r="AS574" t="s">
        <v>441</v>
      </c>
      <c r="AT574" t="s">
        <v>8543</v>
      </c>
      <c r="AU574">
        <v>2005</v>
      </c>
      <c r="AV574">
        <v>230</v>
      </c>
      <c r="AW574" t="s">
        <v>442</v>
      </c>
      <c r="AX574" t="s">
        <v>74</v>
      </c>
      <c r="AY574" t="s">
        <v>74</v>
      </c>
      <c r="AZ574" t="s">
        <v>74</v>
      </c>
      <c r="BA574" t="s">
        <v>74</v>
      </c>
      <c r="BB574">
        <v>163</v>
      </c>
      <c r="BC574">
        <v>175</v>
      </c>
      <c r="BD574" t="s">
        <v>74</v>
      </c>
      <c r="BE574" t="s">
        <v>8544</v>
      </c>
      <c r="BF574" t="str">
        <f>HYPERLINK("http://dx.doi.org/10.1016/j.epsl.2004.11.007","http://dx.doi.org/10.1016/j.epsl.2004.11.007")</f>
        <v>http://dx.doi.org/10.1016/j.epsl.2004.11.007</v>
      </c>
      <c r="BG574" t="s">
        <v>74</v>
      </c>
      <c r="BH574" t="s">
        <v>74</v>
      </c>
      <c r="BI574">
        <v>13</v>
      </c>
      <c r="BJ574" t="s">
        <v>381</v>
      </c>
      <c r="BK574" t="s">
        <v>95</v>
      </c>
      <c r="BL574" t="s">
        <v>381</v>
      </c>
      <c r="BM574" t="s">
        <v>8545</v>
      </c>
      <c r="BN574" t="s">
        <v>74</v>
      </c>
      <c r="BO574" t="s">
        <v>74</v>
      </c>
      <c r="BP574" t="s">
        <v>74</v>
      </c>
      <c r="BQ574" t="s">
        <v>74</v>
      </c>
      <c r="BR574" t="s">
        <v>97</v>
      </c>
      <c r="BS574" t="s">
        <v>8546</v>
      </c>
      <c r="BT574" t="str">
        <f>HYPERLINK("https%3A%2F%2Fwww.webofscience.com%2Fwos%2Fwoscc%2Ffull-record%2FWOS:000226856400011","View Full Record in Web of Science")</f>
        <v>View Full Record in Web of Science</v>
      </c>
    </row>
    <row r="575" spans="1:72" x14ac:dyDescent="0.15">
      <c r="A575" t="s">
        <v>72</v>
      </c>
      <c r="B575" t="s">
        <v>8268</v>
      </c>
      <c r="C575" t="s">
        <v>74</v>
      </c>
      <c r="D575" t="s">
        <v>74</v>
      </c>
      <c r="E575" t="s">
        <v>74</v>
      </c>
      <c r="F575" t="s">
        <v>8268</v>
      </c>
      <c r="G575" t="s">
        <v>74</v>
      </c>
      <c r="H575" t="s">
        <v>74</v>
      </c>
      <c r="I575" t="s">
        <v>8547</v>
      </c>
      <c r="J575" t="s">
        <v>8548</v>
      </c>
      <c r="K575" t="s">
        <v>74</v>
      </c>
      <c r="L575" t="s">
        <v>74</v>
      </c>
      <c r="M575" t="s">
        <v>77</v>
      </c>
      <c r="N575" t="s">
        <v>78</v>
      </c>
      <c r="O575" t="s">
        <v>74</v>
      </c>
      <c r="P575" t="s">
        <v>74</v>
      </c>
      <c r="Q575" t="s">
        <v>74</v>
      </c>
      <c r="R575" t="s">
        <v>74</v>
      </c>
      <c r="S575" t="s">
        <v>74</v>
      </c>
      <c r="T575" t="s">
        <v>8549</v>
      </c>
      <c r="U575" t="s">
        <v>8550</v>
      </c>
      <c r="V575" t="s">
        <v>8551</v>
      </c>
      <c r="W575" t="s">
        <v>8271</v>
      </c>
      <c r="X575" t="s">
        <v>8272</v>
      </c>
      <c r="Y575" t="s">
        <v>8273</v>
      </c>
      <c r="Z575" t="s">
        <v>8552</v>
      </c>
      <c r="AA575" t="s">
        <v>8275</v>
      </c>
      <c r="AB575" t="s">
        <v>8276</v>
      </c>
      <c r="AC575" t="s">
        <v>74</v>
      </c>
      <c r="AD575" t="s">
        <v>74</v>
      </c>
      <c r="AE575" t="s">
        <v>74</v>
      </c>
      <c r="AF575" t="s">
        <v>74</v>
      </c>
      <c r="AG575">
        <v>32</v>
      </c>
      <c r="AH575">
        <v>11</v>
      </c>
      <c r="AI575">
        <v>13</v>
      </c>
      <c r="AJ575">
        <v>0</v>
      </c>
      <c r="AK575">
        <v>1</v>
      </c>
      <c r="AL575" t="s">
        <v>394</v>
      </c>
      <c r="AM575" t="s">
        <v>395</v>
      </c>
      <c r="AN575" t="s">
        <v>396</v>
      </c>
      <c r="AO575" t="s">
        <v>8553</v>
      </c>
      <c r="AP575" t="s">
        <v>8554</v>
      </c>
      <c r="AQ575" t="s">
        <v>74</v>
      </c>
      <c r="AR575" t="s">
        <v>8555</v>
      </c>
      <c r="AS575" t="s">
        <v>8556</v>
      </c>
      <c r="AT575" t="s">
        <v>8543</v>
      </c>
      <c r="AU575">
        <v>2005</v>
      </c>
      <c r="AV575">
        <v>39</v>
      </c>
      <c r="AW575">
        <v>45</v>
      </c>
      <c r="AX575" t="s">
        <v>74</v>
      </c>
      <c r="AY575" t="s">
        <v>74</v>
      </c>
      <c r="AZ575" t="s">
        <v>74</v>
      </c>
      <c r="BA575" t="s">
        <v>74</v>
      </c>
      <c r="BB575">
        <v>3847</v>
      </c>
      <c r="BC575">
        <v>3901</v>
      </c>
      <c r="BD575" t="s">
        <v>74</v>
      </c>
      <c r="BE575" t="s">
        <v>8557</v>
      </c>
      <c r="BF575" t="str">
        <f>HYPERLINK("http://dx.doi.org/10.1080/00222930500450879","http://dx.doi.org/10.1080/00222930500450879")</f>
        <v>http://dx.doi.org/10.1080/00222930500450879</v>
      </c>
      <c r="BG575" t="s">
        <v>74</v>
      </c>
      <c r="BH575" t="s">
        <v>74</v>
      </c>
      <c r="BI575">
        <v>55</v>
      </c>
      <c r="BJ575" t="s">
        <v>8558</v>
      </c>
      <c r="BK575" t="s">
        <v>95</v>
      </c>
      <c r="BL575" t="s">
        <v>8559</v>
      </c>
      <c r="BM575" t="s">
        <v>8560</v>
      </c>
      <c r="BN575" t="s">
        <v>74</v>
      </c>
      <c r="BO575" t="s">
        <v>143</v>
      </c>
      <c r="BP575" t="s">
        <v>74</v>
      </c>
      <c r="BQ575" t="s">
        <v>74</v>
      </c>
      <c r="BR575" t="s">
        <v>97</v>
      </c>
      <c r="BS575" t="s">
        <v>8561</v>
      </c>
      <c r="BT575" t="str">
        <f>HYPERLINK("https%3A%2F%2Fwww.webofscience.com%2Fwos%2Fwoscc%2Ffull-record%2FWOS:000235366100001","View Full Record in Web of Science")</f>
        <v>View Full Record in Web of Science</v>
      </c>
    </row>
    <row r="576" spans="1:72" x14ac:dyDescent="0.15">
      <c r="A576" t="s">
        <v>72</v>
      </c>
      <c r="B576" t="s">
        <v>8562</v>
      </c>
      <c r="C576" t="s">
        <v>74</v>
      </c>
      <c r="D576" t="s">
        <v>74</v>
      </c>
      <c r="E576" t="s">
        <v>74</v>
      </c>
      <c r="F576" t="s">
        <v>8562</v>
      </c>
      <c r="G576" t="s">
        <v>74</v>
      </c>
      <c r="H576" t="s">
        <v>74</v>
      </c>
      <c r="I576" t="s">
        <v>8563</v>
      </c>
      <c r="J576" t="s">
        <v>519</v>
      </c>
      <c r="K576" t="s">
        <v>74</v>
      </c>
      <c r="L576" t="s">
        <v>74</v>
      </c>
      <c r="M576" t="s">
        <v>77</v>
      </c>
      <c r="N576" t="s">
        <v>78</v>
      </c>
      <c r="O576" t="s">
        <v>74</v>
      </c>
      <c r="P576" t="s">
        <v>74</v>
      </c>
      <c r="Q576" t="s">
        <v>74</v>
      </c>
      <c r="R576" t="s">
        <v>74</v>
      </c>
      <c r="S576" t="s">
        <v>74</v>
      </c>
      <c r="T576" t="s">
        <v>74</v>
      </c>
      <c r="U576" t="s">
        <v>8564</v>
      </c>
      <c r="V576" t="s">
        <v>8565</v>
      </c>
      <c r="W576" t="s">
        <v>8566</v>
      </c>
      <c r="X576" t="s">
        <v>8567</v>
      </c>
      <c r="Y576" t="s">
        <v>8568</v>
      </c>
      <c r="Z576" t="s">
        <v>8569</v>
      </c>
      <c r="AA576" t="s">
        <v>8570</v>
      </c>
      <c r="AB576" t="s">
        <v>74</v>
      </c>
      <c r="AC576" t="s">
        <v>74</v>
      </c>
      <c r="AD576" t="s">
        <v>74</v>
      </c>
      <c r="AE576" t="s">
        <v>74</v>
      </c>
      <c r="AF576" t="s">
        <v>74</v>
      </c>
      <c r="AG576">
        <v>25</v>
      </c>
      <c r="AH576">
        <v>36</v>
      </c>
      <c r="AI576">
        <v>39</v>
      </c>
      <c r="AJ576">
        <v>0</v>
      </c>
      <c r="AK576">
        <v>14</v>
      </c>
      <c r="AL576" t="s">
        <v>527</v>
      </c>
      <c r="AM576" t="s">
        <v>528</v>
      </c>
      <c r="AN576" t="s">
        <v>529</v>
      </c>
      <c r="AO576" t="s">
        <v>530</v>
      </c>
      <c r="AP576" t="s">
        <v>531</v>
      </c>
      <c r="AQ576" t="s">
        <v>74</v>
      </c>
      <c r="AR576" t="s">
        <v>532</v>
      </c>
      <c r="AS576" t="s">
        <v>533</v>
      </c>
      <c r="AT576" t="s">
        <v>8571</v>
      </c>
      <c r="AU576">
        <v>2005</v>
      </c>
      <c r="AV576">
        <v>32</v>
      </c>
      <c r="AW576">
        <v>2</v>
      </c>
      <c r="AX576" t="s">
        <v>74</v>
      </c>
      <c r="AY576" t="s">
        <v>74</v>
      </c>
      <c r="AZ576" t="s">
        <v>74</v>
      </c>
      <c r="BA576" t="s">
        <v>74</v>
      </c>
      <c r="BB576" t="s">
        <v>74</v>
      </c>
      <c r="BC576" t="s">
        <v>74</v>
      </c>
      <c r="BD576" t="s">
        <v>8572</v>
      </c>
      <c r="BE576" t="s">
        <v>8573</v>
      </c>
      <c r="BF576" t="str">
        <f>HYPERLINK("http://dx.doi.org/10.1029/2004GL021929","http://dx.doi.org/10.1029/2004GL021929")</f>
        <v>http://dx.doi.org/10.1029/2004GL021929</v>
      </c>
      <c r="BG576" t="s">
        <v>74</v>
      </c>
      <c r="BH576" t="s">
        <v>74</v>
      </c>
      <c r="BI576">
        <v>4</v>
      </c>
      <c r="BJ576" t="s">
        <v>537</v>
      </c>
      <c r="BK576" t="s">
        <v>95</v>
      </c>
      <c r="BL576" t="s">
        <v>307</v>
      </c>
      <c r="BM576" t="s">
        <v>8574</v>
      </c>
      <c r="BN576" t="s">
        <v>74</v>
      </c>
      <c r="BO576" t="s">
        <v>539</v>
      </c>
      <c r="BP576" t="s">
        <v>74</v>
      </c>
      <c r="BQ576" t="s">
        <v>74</v>
      </c>
      <c r="BR576" t="s">
        <v>97</v>
      </c>
      <c r="BS576" t="s">
        <v>8575</v>
      </c>
      <c r="BT576" t="str">
        <f>HYPERLINK("https%3A%2F%2Fwww.webofscience.com%2Fwos%2Fwoscc%2Ffull-record%2FWOS:000226682700006","View Full Record in Web of Science")</f>
        <v>View Full Record in Web of Science</v>
      </c>
    </row>
    <row r="577" spans="1:72" x14ac:dyDescent="0.15">
      <c r="A577" t="s">
        <v>72</v>
      </c>
      <c r="B577" t="s">
        <v>8576</v>
      </c>
      <c r="C577" t="s">
        <v>74</v>
      </c>
      <c r="D577" t="s">
        <v>74</v>
      </c>
      <c r="E577" t="s">
        <v>74</v>
      </c>
      <c r="F577" t="s">
        <v>8576</v>
      </c>
      <c r="G577" t="s">
        <v>74</v>
      </c>
      <c r="H577" t="s">
        <v>74</v>
      </c>
      <c r="I577" t="s">
        <v>8577</v>
      </c>
      <c r="J577" t="s">
        <v>8578</v>
      </c>
      <c r="K577" t="s">
        <v>74</v>
      </c>
      <c r="L577" t="s">
        <v>74</v>
      </c>
      <c r="M577" t="s">
        <v>77</v>
      </c>
      <c r="N577" t="s">
        <v>78</v>
      </c>
      <c r="O577" t="s">
        <v>74</v>
      </c>
      <c r="P577" t="s">
        <v>74</v>
      </c>
      <c r="Q577" t="s">
        <v>74</v>
      </c>
      <c r="R577" t="s">
        <v>74</v>
      </c>
      <c r="S577" t="s">
        <v>74</v>
      </c>
      <c r="T577" t="s">
        <v>74</v>
      </c>
      <c r="U577" t="s">
        <v>8579</v>
      </c>
      <c r="V577" t="s">
        <v>8580</v>
      </c>
      <c r="W577" t="s">
        <v>8581</v>
      </c>
      <c r="X577" t="s">
        <v>8582</v>
      </c>
      <c r="Y577" t="s">
        <v>8583</v>
      </c>
      <c r="Z577" t="s">
        <v>8584</v>
      </c>
      <c r="AA577" t="s">
        <v>74</v>
      </c>
      <c r="AB577" t="s">
        <v>74</v>
      </c>
      <c r="AC577" t="s">
        <v>74</v>
      </c>
      <c r="AD577" t="s">
        <v>74</v>
      </c>
      <c r="AE577" t="s">
        <v>74</v>
      </c>
      <c r="AF577" t="s">
        <v>74</v>
      </c>
      <c r="AG577">
        <v>8</v>
      </c>
      <c r="AH577">
        <v>17</v>
      </c>
      <c r="AI577">
        <v>17</v>
      </c>
      <c r="AJ577">
        <v>0</v>
      </c>
      <c r="AK577">
        <v>6</v>
      </c>
      <c r="AL577" t="s">
        <v>527</v>
      </c>
      <c r="AM577" t="s">
        <v>528</v>
      </c>
      <c r="AN577" t="s">
        <v>529</v>
      </c>
      <c r="AO577" t="s">
        <v>8585</v>
      </c>
      <c r="AP577" t="s">
        <v>74</v>
      </c>
      <c r="AQ577" t="s">
        <v>74</v>
      </c>
      <c r="AR577" t="s">
        <v>8586</v>
      </c>
      <c r="AS577" t="s">
        <v>8587</v>
      </c>
      <c r="AT577" t="s">
        <v>8588</v>
      </c>
      <c r="AU577">
        <v>2005</v>
      </c>
      <c r="AV577">
        <v>3</v>
      </c>
      <c r="AW577">
        <v>1</v>
      </c>
      <c r="AX577" t="s">
        <v>74</v>
      </c>
      <c r="AY577" t="s">
        <v>74</v>
      </c>
      <c r="AZ577" t="s">
        <v>74</v>
      </c>
      <c r="BA577" t="s">
        <v>74</v>
      </c>
      <c r="BB577" t="s">
        <v>74</v>
      </c>
      <c r="BC577" t="s">
        <v>74</v>
      </c>
      <c r="BD577" t="s">
        <v>8589</v>
      </c>
      <c r="BE577" t="s">
        <v>8590</v>
      </c>
      <c r="BF577" t="str">
        <f>HYPERLINK("http://dx.doi.org/10.1029/2004SW000110","http://dx.doi.org/10.1029/2004SW000110")</f>
        <v>http://dx.doi.org/10.1029/2004SW000110</v>
      </c>
      <c r="BG577" t="s">
        <v>74</v>
      </c>
      <c r="BH577" t="s">
        <v>74</v>
      </c>
      <c r="BI577">
        <v>6</v>
      </c>
      <c r="BJ577" t="s">
        <v>8591</v>
      </c>
      <c r="BK577" t="s">
        <v>95</v>
      </c>
      <c r="BL577" t="s">
        <v>8591</v>
      </c>
      <c r="BM577" t="s">
        <v>8592</v>
      </c>
      <c r="BN577" t="s">
        <v>74</v>
      </c>
      <c r="BO577" t="s">
        <v>74</v>
      </c>
      <c r="BP577" t="s">
        <v>74</v>
      </c>
      <c r="BQ577" t="s">
        <v>74</v>
      </c>
      <c r="BR577" t="s">
        <v>97</v>
      </c>
      <c r="BS577" t="s">
        <v>8593</v>
      </c>
      <c r="BT577" t="str">
        <f>HYPERLINK("https%3A%2F%2Fwww.webofscience.com%2Fwos%2Fwoscc%2Ffull-record%2FWOS:000227884400001","View Full Record in Web of Science")</f>
        <v>View Full Record in Web of Science</v>
      </c>
    </row>
    <row r="578" spans="1:72" x14ac:dyDescent="0.15">
      <c r="A578" t="s">
        <v>72</v>
      </c>
      <c r="B578" t="s">
        <v>8594</v>
      </c>
      <c r="C578" t="s">
        <v>74</v>
      </c>
      <c r="D578" t="s">
        <v>74</v>
      </c>
      <c r="E578" t="s">
        <v>74</v>
      </c>
      <c r="F578" t="s">
        <v>8594</v>
      </c>
      <c r="G578" t="s">
        <v>74</v>
      </c>
      <c r="H578" t="s">
        <v>74</v>
      </c>
      <c r="I578" t="s">
        <v>8595</v>
      </c>
      <c r="J578" t="s">
        <v>519</v>
      </c>
      <c r="K578" t="s">
        <v>74</v>
      </c>
      <c r="L578" t="s">
        <v>74</v>
      </c>
      <c r="M578" t="s">
        <v>77</v>
      </c>
      <c r="N578" t="s">
        <v>78</v>
      </c>
      <c r="O578" t="s">
        <v>74</v>
      </c>
      <c r="P578" t="s">
        <v>74</v>
      </c>
      <c r="Q578" t="s">
        <v>74</v>
      </c>
      <c r="R578" t="s">
        <v>74</v>
      </c>
      <c r="S578" t="s">
        <v>74</v>
      </c>
      <c r="T578" t="s">
        <v>74</v>
      </c>
      <c r="U578" t="s">
        <v>8596</v>
      </c>
      <c r="V578" t="s">
        <v>8597</v>
      </c>
      <c r="W578" t="s">
        <v>8598</v>
      </c>
      <c r="X578" t="s">
        <v>8599</v>
      </c>
      <c r="Y578" t="s">
        <v>8600</v>
      </c>
      <c r="Z578" t="s">
        <v>8601</v>
      </c>
      <c r="AA578" t="s">
        <v>8602</v>
      </c>
      <c r="AB578" t="s">
        <v>8603</v>
      </c>
      <c r="AC578" t="s">
        <v>74</v>
      </c>
      <c r="AD578" t="s">
        <v>74</v>
      </c>
      <c r="AE578" t="s">
        <v>74</v>
      </c>
      <c r="AF578" t="s">
        <v>74</v>
      </c>
      <c r="AG578">
        <v>16</v>
      </c>
      <c r="AH578">
        <v>151</v>
      </c>
      <c r="AI578">
        <v>158</v>
      </c>
      <c r="AJ578">
        <v>1</v>
      </c>
      <c r="AK578">
        <v>16</v>
      </c>
      <c r="AL578" t="s">
        <v>527</v>
      </c>
      <c r="AM578" t="s">
        <v>528</v>
      </c>
      <c r="AN578" t="s">
        <v>529</v>
      </c>
      <c r="AO578" t="s">
        <v>530</v>
      </c>
      <c r="AP578" t="s">
        <v>74</v>
      </c>
      <c r="AQ578" t="s">
        <v>74</v>
      </c>
      <c r="AR578" t="s">
        <v>532</v>
      </c>
      <c r="AS578" t="s">
        <v>533</v>
      </c>
      <c r="AT578" t="s">
        <v>8604</v>
      </c>
      <c r="AU578">
        <v>2005</v>
      </c>
      <c r="AV578">
        <v>32</v>
      </c>
      <c r="AW578">
        <v>2</v>
      </c>
      <c r="AX578" t="s">
        <v>74</v>
      </c>
      <c r="AY578" t="s">
        <v>74</v>
      </c>
      <c r="AZ578" t="s">
        <v>74</v>
      </c>
      <c r="BA578" t="s">
        <v>74</v>
      </c>
      <c r="BB578" t="s">
        <v>74</v>
      </c>
      <c r="BC578" t="s">
        <v>74</v>
      </c>
      <c r="BD578" t="s">
        <v>8605</v>
      </c>
      <c r="BE578" t="s">
        <v>8606</v>
      </c>
      <c r="BF578" t="str">
        <f>HYPERLINK("http://dx.doi.org/10.1029/2004GL021036","http://dx.doi.org/10.1029/2004GL021036")</f>
        <v>http://dx.doi.org/10.1029/2004GL021036</v>
      </c>
      <c r="BG578" t="s">
        <v>74</v>
      </c>
      <c r="BH578" t="s">
        <v>74</v>
      </c>
      <c r="BI578">
        <v>5</v>
      </c>
      <c r="BJ578" t="s">
        <v>537</v>
      </c>
      <c r="BK578" t="s">
        <v>95</v>
      </c>
      <c r="BL578" t="s">
        <v>307</v>
      </c>
      <c r="BM578" t="s">
        <v>8607</v>
      </c>
      <c r="BN578" t="s">
        <v>74</v>
      </c>
      <c r="BO578" t="s">
        <v>539</v>
      </c>
      <c r="BP578" t="s">
        <v>74</v>
      </c>
      <c r="BQ578" t="s">
        <v>74</v>
      </c>
      <c r="BR578" t="s">
        <v>97</v>
      </c>
      <c r="BS578" t="s">
        <v>8608</v>
      </c>
      <c r="BT578" t="str">
        <f>HYPERLINK("https%3A%2F%2Fwww.webofscience.com%2Fwos%2Fwoscc%2Ffull-record%2FWOS:000226578300002","View Full Record in Web of Science")</f>
        <v>View Full Record in Web of Science</v>
      </c>
    </row>
    <row r="579" spans="1:72" x14ac:dyDescent="0.15">
      <c r="A579" t="s">
        <v>72</v>
      </c>
      <c r="B579" t="s">
        <v>8609</v>
      </c>
      <c r="C579" t="s">
        <v>74</v>
      </c>
      <c r="D579" t="s">
        <v>74</v>
      </c>
      <c r="E579" t="s">
        <v>74</v>
      </c>
      <c r="F579" t="s">
        <v>8609</v>
      </c>
      <c r="G579" t="s">
        <v>74</v>
      </c>
      <c r="H579" t="s">
        <v>74</v>
      </c>
      <c r="I579" t="s">
        <v>8610</v>
      </c>
      <c r="J579" t="s">
        <v>519</v>
      </c>
      <c r="K579" t="s">
        <v>74</v>
      </c>
      <c r="L579" t="s">
        <v>74</v>
      </c>
      <c r="M579" t="s">
        <v>77</v>
      </c>
      <c r="N579" t="s">
        <v>78</v>
      </c>
      <c r="O579" t="s">
        <v>74</v>
      </c>
      <c r="P579" t="s">
        <v>74</v>
      </c>
      <c r="Q579" t="s">
        <v>74</v>
      </c>
      <c r="R579" t="s">
        <v>74</v>
      </c>
      <c r="S579" t="s">
        <v>74</v>
      </c>
      <c r="T579" t="s">
        <v>74</v>
      </c>
      <c r="U579" t="s">
        <v>8611</v>
      </c>
      <c r="V579" t="s">
        <v>8612</v>
      </c>
      <c r="W579" t="s">
        <v>8613</v>
      </c>
      <c r="X579" t="s">
        <v>8614</v>
      </c>
      <c r="Y579" t="s">
        <v>8615</v>
      </c>
      <c r="Z579" t="s">
        <v>8616</v>
      </c>
      <c r="AA579" t="s">
        <v>8617</v>
      </c>
      <c r="AB579" t="s">
        <v>8618</v>
      </c>
      <c r="AC579" t="s">
        <v>74</v>
      </c>
      <c r="AD579" t="s">
        <v>74</v>
      </c>
      <c r="AE579" t="s">
        <v>74</v>
      </c>
      <c r="AF579" t="s">
        <v>74</v>
      </c>
      <c r="AG579">
        <v>13</v>
      </c>
      <c r="AH579">
        <v>51</v>
      </c>
      <c r="AI579">
        <v>53</v>
      </c>
      <c r="AJ579">
        <v>0</v>
      </c>
      <c r="AK579">
        <v>16</v>
      </c>
      <c r="AL579" t="s">
        <v>527</v>
      </c>
      <c r="AM579" t="s">
        <v>528</v>
      </c>
      <c r="AN579" t="s">
        <v>529</v>
      </c>
      <c r="AO579" t="s">
        <v>530</v>
      </c>
      <c r="AP579" t="s">
        <v>531</v>
      </c>
      <c r="AQ579" t="s">
        <v>74</v>
      </c>
      <c r="AR579" t="s">
        <v>532</v>
      </c>
      <c r="AS579" t="s">
        <v>533</v>
      </c>
      <c r="AT579" t="s">
        <v>8604</v>
      </c>
      <c r="AU579">
        <v>2005</v>
      </c>
      <c r="AV579">
        <v>32</v>
      </c>
      <c r="AW579">
        <v>2</v>
      </c>
      <c r="AX579" t="s">
        <v>74</v>
      </c>
      <c r="AY579" t="s">
        <v>74</v>
      </c>
      <c r="AZ579" t="s">
        <v>74</v>
      </c>
      <c r="BA579" t="s">
        <v>74</v>
      </c>
      <c r="BB579" t="s">
        <v>74</v>
      </c>
      <c r="BC579" t="s">
        <v>74</v>
      </c>
      <c r="BD579" t="s">
        <v>8619</v>
      </c>
      <c r="BE579" t="s">
        <v>8620</v>
      </c>
      <c r="BF579" t="str">
        <f>HYPERLINK("http://dx.doi.org/10.1029/2004GL020978","http://dx.doi.org/10.1029/2004GL020978")</f>
        <v>http://dx.doi.org/10.1029/2004GL020978</v>
      </c>
      <c r="BG579" t="s">
        <v>74</v>
      </c>
      <c r="BH579" t="s">
        <v>74</v>
      </c>
      <c r="BI579">
        <v>4</v>
      </c>
      <c r="BJ579" t="s">
        <v>537</v>
      </c>
      <c r="BK579" t="s">
        <v>95</v>
      </c>
      <c r="BL579" t="s">
        <v>307</v>
      </c>
      <c r="BM579" t="s">
        <v>8607</v>
      </c>
      <c r="BN579" t="s">
        <v>74</v>
      </c>
      <c r="BO579" t="s">
        <v>539</v>
      </c>
      <c r="BP579" t="s">
        <v>74</v>
      </c>
      <c r="BQ579" t="s">
        <v>74</v>
      </c>
      <c r="BR579" t="s">
        <v>97</v>
      </c>
      <c r="BS579" t="s">
        <v>8621</v>
      </c>
      <c r="BT579" t="str">
        <f>HYPERLINK("https%3A%2F%2Fwww.webofscience.com%2Fwos%2Fwoscc%2Ffull-record%2FWOS:000226578300001","View Full Record in Web of Science")</f>
        <v>View Full Record in Web of Science</v>
      </c>
    </row>
    <row r="580" spans="1:72" x14ac:dyDescent="0.15">
      <c r="A580" t="s">
        <v>72</v>
      </c>
      <c r="B580" t="s">
        <v>8622</v>
      </c>
      <c r="C580" t="s">
        <v>74</v>
      </c>
      <c r="D580" t="s">
        <v>74</v>
      </c>
      <c r="E580" t="s">
        <v>74</v>
      </c>
      <c r="F580" t="s">
        <v>8622</v>
      </c>
      <c r="G580" t="s">
        <v>74</v>
      </c>
      <c r="H580" t="s">
        <v>74</v>
      </c>
      <c r="I580" t="s">
        <v>8623</v>
      </c>
      <c r="J580" t="s">
        <v>1868</v>
      </c>
      <c r="K580" t="s">
        <v>74</v>
      </c>
      <c r="L580" t="s">
        <v>74</v>
      </c>
      <c r="M580" t="s">
        <v>77</v>
      </c>
      <c r="N580" t="s">
        <v>78</v>
      </c>
      <c r="O580" t="s">
        <v>74</v>
      </c>
      <c r="P580" t="s">
        <v>74</v>
      </c>
      <c r="Q580" t="s">
        <v>74</v>
      </c>
      <c r="R580" t="s">
        <v>74</v>
      </c>
      <c r="S580" t="s">
        <v>74</v>
      </c>
      <c r="T580" t="s">
        <v>74</v>
      </c>
      <c r="U580" t="s">
        <v>8624</v>
      </c>
      <c r="V580" t="s">
        <v>8625</v>
      </c>
      <c r="W580" t="s">
        <v>8626</v>
      </c>
      <c r="X580" t="s">
        <v>6294</v>
      </c>
      <c r="Y580" t="s">
        <v>8627</v>
      </c>
      <c r="Z580" t="s">
        <v>8628</v>
      </c>
      <c r="AA580" t="s">
        <v>74</v>
      </c>
      <c r="AB580" t="s">
        <v>8629</v>
      </c>
      <c r="AC580" t="s">
        <v>74</v>
      </c>
      <c r="AD580" t="s">
        <v>74</v>
      </c>
      <c r="AE580" t="s">
        <v>74</v>
      </c>
      <c r="AF580" t="s">
        <v>74</v>
      </c>
      <c r="AG580">
        <v>8</v>
      </c>
      <c r="AH580">
        <v>9</v>
      </c>
      <c r="AI580">
        <v>9</v>
      </c>
      <c r="AJ580">
        <v>1</v>
      </c>
      <c r="AK580">
        <v>11</v>
      </c>
      <c r="AL580" t="s">
        <v>527</v>
      </c>
      <c r="AM580" t="s">
        <v>528</v>
      </c>
      <c r="AN580" t="s">
        <v>529</v>
      </c>
      <c r="AO580" t="s">
        <v>1877</v>
      </c>
      <c r="AP580" t="s">
        <v>1878</v>
      </c>
      <c r="AQ580" t="s">
        <v>74</v>
      </c>
      <c r="AR580" t="s">
        <v>1879</v>
      </c>
      <c r="AS580" t="s">
        <v>1880</v>
      </c>
      <c r="AT580" t="s">
        <v>8604</v>
      </c>
      <c r="AU580">
        <v>2005</v>
      </c>
      <c r="AV580">
        <v>110</v>
      </c>
      <c r="AW580" t="s">
        <v>8630</v>
      </c>
      <c r="AX580" t="s">
        <v>74</v>
      </c>
      <c r="AY580" t="s">
        <v>74</v>
      </c>
      <c r="AZ580" t="s">
        <v>74</v>
      </c>
      <c r="BA580" t="s">
        <v>74</v>
      </c>
      <c r="BB580" t="s">
        <v>74</v>
      </c>
      <c r="BC580" t="s">
        <v>74</v>
      </c>
      <c r="BD580" t="s">
        <v>8631</v>
      </c>
      <c r="BE580" t="s">
        <v>8632</v>
      </c>
      <c r="BF580" t="str">
        <f>HYPERLINK("http://dx.doi.org/10.1029/2004JD004944","http://dx.doi.org/10.1029/2004JD004944")</f>
        <v>http://dx.doi.org/10.1029/2004JD004944</v>
      </c>
      <c r="BG580" t="s">
        <v>74</v>
      </c>
      <c r="BH580" t="s">
        <v>74</v>
      </c>
      <c r="BI580">
        <v>6</v>
      </c>
      <c r="BJ580" t="s">
        <v>401</v>
      </c>
      <c r="BK580" t="s">
        <v>95</v>
      </c>
      <c r="BL580" t="s">
        <v>401</v>
      </c>
      <c r="BM580" t="s">
        <v>8633</v>
      </c>
      <c r="BN580" t="s">
        <v>74</v>
      </c>
      <c r="BO580" t="s">
        <v>539</v>
      </c>
      <c r="BP580" t="s">
        <v>74</v>
      </c>
      <c r="BQ580" t="s">
        <v>74</v>
      </c>
      <c r="BR580" t="s">
        <v>97</v>
      </c>
      <c r="BS580" t="s">
        <v>8634</v>
      </c>
      <c r="BT580" t="str">
        <f>HYPERLINK("https%3A%2F%2Fwww.webofscience.com%2Fwos%2Fwoscc%2Ffull-record%2FWOS:000226579200003","View Full Record in Web of Science")</f>
        <v>View Full Record in Web of Science</v>
      </c>
    </row>
    <row r="581" spans="1:72" x14ac:dyDescent="0.15">
      <c r="A581" t="s">
        <v>72</v>
      </c>
      <c r="B581" t="s">
        <v>8635</v>
      </c>
      <c r="C581" t="s">
        <v>74</v>
      </c>
      <c r="D581" t="s">
        <v>74</v>
      </c>
      <c r="E581" t="s">
        <v>74</v>
      </c>
      <c r="F581" t="s">
        <v>8635</v>
      </c>
      <c r="G581" t="s">
        <v>74</v>
      </c>
      <c r="H581" t="s">
        <v>74</v>
      </c>
      <c r="I581" t="s">
        <v>8636</v>
      </c>
      <c r="J581" t="s">
        <v>8637</v>
      </c>
      <c r="K581" t="s">
        <v>74</v>
      </c>
      <c r="L581" t="s">
        <v>74</v>
      </c>
      <c r="M581" t="s">
        <v>77</v>
      </c>
      <c r="N581" t="s">
        <v>78</v>
      </c>
      <c r="O581" t="s">
        <v>74</v>
      </c>
      <c r="P581" t="s">
        <v>74</v>
      </c>
      <c r="Q581" t="s">
        <v>74</v>
      </c>
      <c r="R581" t="s">
        <v>74</v>
      </c>
      <c r="S581" t="s">
        <v>74</v>
      </c>
      <c r="T581" t="s">
        <v>74</v>
      </c>
      <c r="U581" t="s">
        <v>8638</v>
      </c>
      <c r="V581" t="s">
        <v>8639</v>
      </c>
      <c r="W581" t="s">
        <v>8640</v>
      </c>
      <c r="X581" t="s">
        <v>2250</v>
      </c>
      <c r="Y581" t="s">
        <v>8641</v>
      </c>
      <c r="Z581" t="s">
        <v>8642</v>
      </c>
      <c r="AA581" t="s">
        <v>8643</v>
      </c>
      <c r="AB581" t="s">
        <v>8644</v>
      </c>
      <c r="AC581" t="s">
        <v>74</v>
      </c>
      <c r="AD581" t="s">
        <v>74</v>
      </c>
      <c r="AE581" t="s">
        <v>74</v>
      </c>
      <c r="AF581" t="s">
        <v>74</v>
      </c>
      <c r="AG581">
        <v>30</v>
      </c>
      <c r="AH581">
        <v>128</v>
      </c>
      <c r="AI581">
        <v>139</v>
      </c>
      <c r="AJ581">
        <v>0</v>
      </c>
      <c r="AK581">
        <v>17</v>
      </c>
      <c r="AL581" t="s">
        <v>527</v>
      </c>
      <c r="AM581" t="s">
        <v>528</v>
      </c>
      <c r="AN581" t="s">
        <v>529</v>
      </c>
      <c r="AO581" t="s">
        <v>8645</v>
      </c>
      <c r="AP581" t="s">
        <v>8646</v>
      </c>
      <c r="AQ581" t="s">
        <v>74</v>
      </c>
      <c r="AR581" t="s">
        <v>8647</v>
      </c>
      <c r="AS581" t="s">
        <v>8648</v>
      </c>
      <c r="AT581" t="s">
        <v>8604</v>
      </c>
      <c r="AU581">
        <v>2005</v>
      </c>
      <c r="AV581">
        <v>110</v>
      </c>
      <c r="AW581" t="s">
        <v>8649</v>
      </c>
      <c r="AX581" t="s">
        <v>74</v>
      </c>
      <c r="AY581" t="s">
        <v>74</v>
      </c>
      <c r="AZ581" t="s">
        <v>74</v>
      </c>
      <c r="BA581" t="s">
        <v>74</v>
      </c>
      <c r="BB581" t="s">
        <v>74</v>
      </c>
      <c r="BC581" t="s">
        <v>74</v>
      </c>
      <c r="BD581" t="s">
        <v>8650</v>
      </c>
      <c r="BE581" t="s">
        <v>8651</v>
      </c>
      <c r="BF581" t="str">
        <f>HYPERLINK("http://dx.doi.org/10.1029/2004JF000202","http://dx.doi.org/10.1029/2004JF000202")</f>
        <v>http://dx.doi.org/10.1029/2004JF000202</v>
      </c>
      <c r="BG581" t="s">
        <v>74</v>
      </c>
      <c r="BH581" t="s">
        <v>74</v>
      </c>
      <c r="BI581">
        <v>18</v>
      </c>
      <c r="BJ581" t="s">
        <v>537</v>
      </c>
      <c r="BK581" t="s">
        <v>95</v>
      </c>
      <c r="BL581" t="s">
        <v>307</v>
      </c>
      <c r="BM581" t="s">
        <v>8652</v>
      </c>
      <c r="BN581" t="s">
        <v>74</v>
      </c>
      <c r="BO581" t="s">
        <v>4213</v>
      </c>
      <c r="BP581" t="s">
        <v>74</v>
      </c>
      <c r="BQ581" t="s">
        <v>74</v>
      </c>
      <c r="BR581" t="s">
        <v>97</v>
      </c>
      <c r="BS581" t="s">
        <v>8653</v>
      </c>
      <c r="BT581" t="str">
        <f>HYPERLINK("https%3A%2F%2Fwww.webofscience.com%2Fwos%2Fwoscc%2Ffull-record%2FWOS:000226579600001","View Full Record in Web of Science")</f>
        <v>View Full Record in Web of Science</v>
      </c>
    </row>
    <row r="582" spans="1:72" x14ac:dyDescent="0.15">
      <c r="A582" t="s">
        <v>72</v>
      </c>
      <c r="B582" t="s">
        <v>8654</v>
      </c>
      <c r="C582" t="s">
        <v>74</v>
      </c>
      <c r="D582" t="s">
        <v>74</v>
      </c>
      <c r="E582" t="s">
        <v>74</v>
      </c>
      <c r="F582" t="s">
        <v>8654</v>
      </c>
      <c r="G582" t="s">
        <v>74</v>
      </c>
      <c r="H582" t="s">
        <v>74</v>
      </c>
      <c r="I582" t="s">
        <v>8655</v>
      </c>
      <c r="J582" t="s">
        <v>785</v>
      </c>
      <c r="K582" t="s">
        <v>74</v>
      </c>
      <c r="L582" t="s">
        <v>74</v>
      </c>
      <c r="M582" t="s">
        <v>77</v>
      </c>
      <c r="N582" t="s">
        <v>78</v>
      </c>
      <c r="O582" t="s">
        <v>74</v>
      </c>
      <c r="P582" t="s">
        <v>74</v>
      </c>
      <c r="Q582" t="s">
        <v>74</v>
      </c>
      <c r="R582" t="s">
        <v>74</v>
      </c>
      <c r="S582" t="s">
        <v>74</v>
      </c>
      <c r="T582" t="s">
        <v>8656</v>
      </c>
      <c r="U582" t="s">
        <v>8657</v>
      </c>
      <c r="V582" t="s">
        <v>8658</v>
      </c>
      <c r="W582" t="s">
        <v>8659</v>
      </c>
      <c r="X582" t="s">
        <v>8660</v>
      </c>
      <c r="Y582" t="s">
        <v>74</v>
      </c>
      <c r="Z582" t="s">
        <v>8661</v>
      </c>
      <c r="AA582" t="s">
        <v>8662</v>
      </c>
      <c r="AB582" t="s">
        <v>8663</v>
      </c>
      <c r="AC582" t="s">
        <v>74</v>
      </c>
      <c r="AD582" t="s">
        <v>74</v>
      </c>
      <c r="AE582" t="s">
        <v>74</v>
      </c>
      <c r="AF582" t="s">
        <v>74</v>
      </c>
      <c r="AG582">
        <v>86</v>
      </c>
      <c r="AH582">
        <v>106</v>
      </c>
      <c r="AI582">
        <v>116</v>
      </c>
      <c r="AJ582">
        <v>1</v>
      </c>
      <c r="AK582">
        <v>29</v>
      </c>
      <c r="AL582" t="s">
        <v>456</v>
      </c>
      <c r="AM582" t="s">
        <v>436</v>
      </c>
      <c r="AN582" t="s">
        <v>457</v>
      </c>
      <c r="AO582" t="s">
        <v>795</v>
      </c>
      <c r="AP582" t="s">
        <v>796</v>
      </c>
      <c r="AQ582" t="s">
        <v>74</v>
      </c>
      <c r="AR582" t="s">
        <v>797</v>
      </c>
      <c r="AS582" t="s">
        <v>798</v>
      </c>
      <c r="AT582" t="s">
        <v>8664</v>
      </c>
      <c r="AU582">
        <v>2005</v>
      </c>
      <c r="AV582">
        <v>216</v>
      </c>
      <c r="AW582" t="s">
        <v>442</v>
      </c>
      <c r="AX582" t="s">
        <v>74</v>
      </c>
      <c r="AY582" t="s">
        <v>74</v>
      </c>
      <c r="AZ582" t="s">
        <v>74</v>
      </c>
      <c r="BA582" t="s">
        <v>74</v>
      </c>
      <c r="BB582">
        <v>73</v>
      </c>
      <c r="BC582">
        <v>97</v>
      </c>
      <c r="BD582" t="s">
        <v>74</v>
      </c>
      <c r="BE582" t="s">
        <v>8665</v>
      </c>
      <c r="BF582" t="str">
        <f>HYPERLINK("http://dx.doi.org/10.1016/j.palaeo.2004.10.007","http://dx.doi.org/10.1016/j.palaeo.2004.10.007")</f>
        <v>http://dx.doi.org/10.1016/j.palaeo.2004.10.007</v>
      </c>
      <c r="BG582" t="s">
        <v>74</v>
      </c>
      <c r="BH582" t="s">
        <v>74</v>
      </c>
      <c r="BI582">
        <v>25</v>
      </c>
      <c r="BJ582" t="s">
        <v>801</v>
      </c>
      <c r="BK582" t="s">
        <v>95</v>
      </c>
      <c r="BL582" t="s">
        <v>802</v>
      </c>
      <c r="BM582" t="s">
        <v>8666</v>
      </c>
      <c r="BN582" t="s">
        <v>74</v>
      </c>
      <c r="BO582" t="s">
        <v>74</v>
      </c>
      <c r="BP582" t="s">
        <v>74</v>
      </c>
      <c r="BQ582" t="s">
        <v>74</v>
      </c>
      <c r="BR582" t="s">
        <v>97</v>
      </c>
      <c r="BS582" t="s">
        <v>8667</v>
      </c>
      <c r="BT582" t="str">
        <f>HYPERLINK("https%3A%2F%2Fwww.webofscience.com%2Fwos%2Fwoscc%2Ffull-record%2FWOS:000226314900004","View Full Record in Web of Science")</f>
        <v>View Full Record in Web of Science</v>
      </c>
    </row>
    <row r="583" spans="1:72" x14ac:dyDescent="0.15">
      <c r="A583" t="s">
        <v>72</v>
      </c>
      <c r="B583" t="s">
        <v>8668</v>
      </c>
      <c r="C583" t="s">
        <v>74</v>
      </c>
      <c r="D583" t="s">
        <v>74</v>
      </c>
      <c r="E583" t="s">
        <v>74</v>
      </c>
      <c r="F583" t="s">
        <v>8668</v>
      </c>
      <c r="G583" t="s">
        <v>74</v>
      </c>
      <c r="H583" t="s">
        <v>74</v>
      </c>
      <c r="I583" t="s">
        <v>8669</v>
      </c>
      <c r="J583" t="s">
        <v>8670</v>
      </c>
      <c r="K583" t="s">
        <v>74</v>
      </c>
      <c r="L583" t="s">
        <v>74</v>
      </c>
      <c r="M583" t="s">
        <v>77</v>
      </c>
      <c r="N583" t="s">
        <v>78</v>
      </c>
      <c r="O583" t="s">
        <v>74</v>
      </c>
      <c r="P583" t="s">
        <v>74</v>
      </c>
      <c r="Q583" t="s">
        <v>74</v>
      </c>
      <c r="R583" t="s">
        <v>74</v>
      </c>
      <c r="S583" t="s">
        <v>74</v>
      </c>
      <c r="T583" t="s">
        <v>74</v>
      </c>
      <c r="U583" t="s">
        <v>8671</v>
      </c>
      <c r="V583" t="s">
        <v>8672</v>
      </c>
      <c r="W583" t="s">
        <v>8673</v>
      </c>
      <c r="X583" t="s">
        <v>8674</v>
      </c>
      <c r="Y583" t="s">
        <v>8675</v>
      </c>
      <c r="Z583" t="s">
        <v>8676</v>
      </c>
      <c r="AA583" t="s">
        <v>74</v>
      </c>
      <c r="AB583" t="s">
        <v>74</v>
      </c>
      <c r="AC583" t="s">
        <v>74</v>
      </c>
      <c r="AD583" t="s">
        <v>74</v>
      </c>
      <c r="AE583" t="s">
        <v>74</v>
      </c>
      <c r="AF583" t="s">
        <v>74</v>
      </c>
      <c r="AG583">
        <v>20</v>
      </c>
      <c r="AH583">
        <v>27</v>
      </c>
      <c r="AI583">
        <v>27</v>
      </c>
      <c r="AJ583">
        <v>0</v>
      </c>
      <c r="AK583">
        <v>18</v>
      </c>
      <c r="AL583" t="s">
        <v>1519</v>
      </c>
      <c r="AM583" t="s">
        <v>528</v>
      </c>
      <c r="AN583" t="s">
        <v>1520</v>
      </c>
      <c r="AO583" t="s">
        <v>8677</v>
      </c>
      <c r="AP583" t="s">
        <v>8678</v>
      </c>
      <c r="AQ583" t="s">
        <v>74</v>
      </c>
      <c r="AR583" t="s">
        <v>8679</v>
      </c>
      <c r="AS583" t="s">
        <v>8680</v>
      </c>
      <c r="AT583" t="s">
        <v>8681</v>
      </c>
      <c r="AU583">
        <v>2005</v>
      </c>
      <c r="AV583">
        <v>77</v>
      </c>
      <c r="AW583">
        <v>2</v>
      </c>
      <c r="AX583" t="s">
        <v>74</v>
      </c>
      <c r="AY583" t="s">
        <v>74</v>
      </c>
      <c r="AZ583" t="s">
        <v>74</v>
      </c>
      <c r="BA583" t="s">
        <v>74</v>
      </c>
      <c r="BB583">
        <v>511</v>
      </c>
      <c r="BC583">
        <v>516</v>
      </c>
      <c r="BD583" t="s">
        <v>74</v>
      </c>
      <c r="BE583" t="s">
        <v>8682</v>
      </c>
      <c r="BF583" t="str">
        <f>HYPERLINK("http://dx.doi.org/10.1021/ac048757m","http://dx.doi.org/10.1021/ac048757m")</f>
        <v>http://dx.doi.org/10.1021/ac048757m</v>
      </c>
      <c r="BG583" t="s">
        <v>74</v>
      </c>
      <c r="BH583" t="s">
        <v>74</v>
      </c>
      <c r="BI583">
        <v>6</v>
      </c>
      <c r="BJ583" t="s">
        <v>8683</v>
      </c>
      <c r="BK583" t="s">
        <v>95</v>
      </c>
      <c r="BL583" t="s">
        <v>4061</v>
      </c>
      <c r="BM583" t="s">
        <v>8684</v>
      </c>
      <c r="BN583">
        <v>15649047</v>
      </c>
      <c r="BO583" t="s">
        <v>74</v>
      </c>
      <c r="BP583" t="s">
        <v>74</v>
      </c>
      <c r="BQ583" t="s">
        <v>74</v>
      </c>
      <c r="BR583" t="s">
        <v>97</v>
      </c>
      <c r="BS583" t="s">
        <v>8685</v>
      </c>
      <c r="BT583" t="str">
        <f>HYPERLINK("https%3A%2F%2Fwww.webofscience.com%2Fwos%2Fwoscc%2Ffull-record%2FWOS:000226318300019","View Full Record in Web of Science")</f>
        <v>View Full Record in Web of Science</v>
      </c>
    </row>
    <row r="584" spans="1:72" x14ac:dyDescent="0.15">
      <c r="A584" t="s">
        <v>72</v>
      </c>
      <c r="B584" t="s">
        <v>8686</v>
      </c>
      <c r="C584" t="s">
        <v>74</v>
      </c>
      <c r="D584" t="s">
        <v>74</v>
      </c>
      <c r="E584" t="s">
        <v>74</v>
      </c>
      <c r="F584" t="s">
        <v>8686</v>
      </c>
      <c r="G584" t="s">
        <v>74</v>
      </c>
      <c r="H584" t="s">
        <v>74</v>
      </c>
      <c r="I584" t="s">
        <v>8687</v>
      </c>
      <c r="J584" t="s">
        <v>425</v>
      </c>
      <c r="K584" t="s">
        <v>74</v>
      </c>
      <c r="L584" t="s">
        <v>74</v>
      </c>
      <c r="M584" t="s">
        <v>77</v>
      </c>
      <c r="N584" t="s">
        <v>78</v>
      </c>
      <c r="O584" t="s">
        <v>74</v>
      </c>
      <c r="P584" t="s">
        <v>74</v>
      </c>
      <c r="Q584" t="s">
        <v>74</v>
      </c>
      <c r="R584" t="s">
        <v>74</v>
      </c>
      <c r="S584" t="s">
        <v>74</v>
      </c>
      <c r="T584" t="s">
        <v>8688</v>
      </c>
      <c r="U584" t="s">
        <v>8689</v>
      </c>
      <c r="V584" t="s">
        <v>8690</v>
      </c>
      <c r="W584" t="s">
        <v>8691</v>
      </c>
      <c r="X584" t="s">
        <v>8692</v>
      </c>
      <c r="Y584" t="s">
        <v>8693</v>
      </c>
      <c r="Z584" t="s">
        <v>8694</v>
      </c>
      <c r="AA584" t="s">
        <v>8695</v>
      </c>
      <c r="AB584" t="s">
        <v>8696</v>
      </c>
      <c r="AC584" t="s">
        <v>74</v>
      </c>
      <c r="AD584" t="s">
        <v>74</v>
      </c>
      <c r="AE584" t="s">
        <v>74</v>
      </c>
      <c r="AF584" t="s">
        <v>74</v>
      </c>
      <c r="AG584">
        <v>38</v>
      </c>
      <c r="AH584">
        <v>55</v>
      </c>
      <c r="AI584">
        <v>65</v>
      </c>
      <c r="AJ584">
        <v>0</v>
      </c>
      <c r="AK584">
        <v>25</v>
      </c>
      <c r="AL584" t="s">
        <v>456</v>
      </c>
      <c r="AM584" t="s">
        <v>436</v>
      </c>
      <c r="AN584" t="s">
        <v>457</v>
      </c>
      <c r="AO584" t="s">
        <v>438</v>
      </c>
      <c r="AP584" t="s">
        <v>439</v>
      </c>
      <c r="AQ584" t="s">
        <v>74</v>
      </c>
      <c r="AR584" t="s">
        <v>440</v>
      </c>
      <c r="AS584" t="s">
        <v>441</v>
      </c>
      <c r="AT584" t="s">
        <v>8681</v>
      </c>
      <c r="AU584">
        <v>2005</v>
      </c>
      <c r="AV584">
        <v>229</v>
      </c>
      <c r="AW584" t="s">
        <v>961</v>
      </c>
      <c r="AX584" t="s">
        <v>74</v>
      </c>
      <c r="AY584" t="s">
        <v>74</v>
      </c>
      <c r="AZ584" t="s">
        <v>74</v>
      </c>
      <c r="BA584" t="s">
        <v>74</v>
      </c>
      <c r="BB584">
        <v>183</v>
      </c>
      <c r="BC584">
        <v>192</v>
      </c>
      <c r="BD584" t="s">
        <v>74</v>
      </c>
      <c r="BE584" t="s">
        <v>8697</v>
      </c>
      <c r="BF584" t="str">
        <f>HYPERLINK("http://dx.doi.org/10.1016/j.epsl.2004.11.011","http://dx.doi.org/10.1016/j.epsl.2004.11.011")</f>
        <v>http://dx.doi.org/10.1016/j.epsl.2004.11.011</v>
      </c>
      <c r="BG584" t="s">
        <v>74</v>
      </c>
      <c r="BH584" t="s">
        <v>74</v>
      </c>
      <c r="BI584">
        <v>10</v>
      </c>
      <c r="BJ584" t="s">
        <v>381</v>
      </c>
      <c r="BK584" t="s">
        <v>95</v>
      </c>
      <c r="BL584" t="s">
        <v>381</v>
      </c>
      <c r="BM584" t="s">
        <v>8698</v>
      </c>
      <c r="BN584" t="s">
        <v>74</v>
      </c>
      <c r="BO584" t="s">
        <v>74</v>
      </c>
      <c r="BP584" t="s">
        <v>74</v>
      </c>
      <c r="BQ584" t="s">
        <v>74</v>
      </c>
      <c r="BR584" t="s">
        <v>97</v>
      </c>
      <c r="BS584" t="s">
        <v>8699</v>
      </c>
      <c r="BT584" t="str">
        <f>HYPERLINK("https%3A%2F%2Fwww.webofscience.com%2Fwos%2Fwoscc%2Ffull-record%2FWOS:000226571200002","View Full Record in Web of Science")</f>
        <v>View Full Record in Web of Science</v>
      </c>
    </row>
    <row r="585" spans="1:72" x14ac:dyDescent="0.15">
      <c r="A585" t="s">
        <v>72</v>
      </c>
      <c r="B585" t="s">
        <v>8700</v>
      </c>
      <c r="C585" t="s">
        <v>74</v>
      </c>
      <c r="D585" t="s">
        <v>74</v>
      </c>
      <c r="E585" t="s">
        <v>74</v>
      </c>
      <c r="F585" t="s">
        <v>8700</v>
      </c>
      <c r="G585" t="s">
        <v>74</v>
      </c>
      <c r="H585" t="s">
        <v>74</v>
      </c>
      <c r="I585" t="s">
        <v>8701</v>
      </c>
      <c r="J585" t="s">
        <v>1512</v>
      </c>
      <c r="K585" t="s">
        <v>74</v>
      </c>
      <c r="L585" t="s">
        <v>74</v>
      </c>
      <c r="M585" t="s">
        <v>77</v>
      </c>
      <c r="N585" t="s">
        <v>78</v>
      </c>
      <c r="O585" t="s">
        <v>74</v>
      </c>
      <c r="P585" t="s">
        <v>74</v>
      </c>
      <c r="Q585" t="s">
        <v>74</v>
      </c>
      <c r="R585" t="s">
        <v>74</v>
      </c>
      <c r="S585" t="s">
        <v>74</v>
      </c>
      <c r="T585" t="s">
        <v>74</v>
      </c>
      <c r="U585" t="s">
        <v>8702</v>
      </c>
      <c r="V585" t="s">
        <v>8703</v>
      </c>
      <c r="W585" t="s">
        <v>8704</v>
      </c>
      <c r="X585" t="s">
        <v>8705</v>
      </c>
      <c r="Y585" t="s">
        <v>8706</v>
      </c>
      <c r="Z585" t="s">
        <v>8707</v>
      </c>
      <c r="AA585" t="s">
        <v>8708</v>
      </c>
      <c r="AB585" t="s">
        <v>8709</v>
      </c>
      <c r="AC585" t="s">
        <v>74</v>
      </c>
      <c r="AD585" t="s">
        <v>74</v>
      </c>
      <c r="AE585" t="s">
        <v>74</v>
      </c>
      <c r="AF585" t="s">
        <v>74</v>
      </c>
      <c r="AG585">
        <v>33</v>
      </c>
      <c r="AH585">
        <v>82</v>
      </c>
      <c r="AI585">
        <v>91</v>
      </c>
      <c r="AJ585">
        <v>2</v>
      </c>
      <c r="AK585">
        <v>40</v>
      </c>
      <c r="AL585" t="s">
        <v>1519</v>
      </c>
      <c r="AM585" t="s">
        <v>528</v>
      </c>
      <c r="AN585" t="s">
        <v>1520</v>
      </c>
      <c r="AO585" t="s">
        <v>1521</v>
      </c>
      <c r="AP585" t="s">
        <v>1522</v>
      </c>
      <c r="AQ585" t="s">
        <v>74</v>
      </c>
      <c r="AR585" t="s">
        <v>1523</v>
      </c>
      <c r="AS585" t="s">
        <v>1524</v>
      </c>
      <c r="AT585" t="s">
        <v>8681</v>
      </c>
      <c r="AU585">
        <v>2005</v>
      </c>
      <c r="AV585">
        <v>39</v>
      </c>
      <c r="AW585">
        <v>2</v>
      </c>
      <c r="AX585" t="s">
        <v>74</v>
      </c>
      <c r="AY585" t="s">
        <v>74</v>
      </c>
      <c r="AZ585" t="s">
        <v>74</v>
      </c>
      <c r="BA585" t="s">
        <v>74</v>
      </c>
      <c r="BB585">
        <v>465</v>
      </c>
      <c r="BC585">
        <v>470</v>
      </c>
      <c r="BD585" t="s">
        <v>74</v>
      </c>
      <c r="BE585" t="s">
        <v>8710</v>
      </c>
      <c r="BF585" t="str">
        <f>HYPERLINK("http://dx.doi.org/10.1021/es048648p","http://dx.doi.org/10.1021/es048648p")</f>
        <v>http://dx.doi.org/10.1021/es048648p</v>
      </c>
      <c r="BG585" t="s">
        <v>74</v>
      </c>
      <c r="BH585" t="s">
        <v>74</v>
      </c>
      <c r="BI585">
        <v>6</v>
      </c>
      <c r="BJ585" t="s">
        <v>1526</v>
      </c>
      <c r="BK585" t="s">
        <v>95</v>
      </c>
      <c r="BL585" t="s">
        <v>1527</v>
      </c>
      <c r="BM585" t="s">
        <v>8711</v>
      </c>
      <c r="BN585">
        <v>15707045</v>
      </c>
      <c r="BO585" t="s">
        <v>74</v>
      </c>
      <c r="BP585" t="s">
        <v>74</v>
      </c>
      <c r="BQ585" t="s">
        <v>74</v>
      </c>
      <c r="BR585" t="s">
        <v>97</v>
      </c>
      <c r="BS585" t="s">
        <v>8712</v>
      </c>
      <c r="BT585" t="str">
        <f>HYPERLINK("https%3A%2F%2Fwww.webofscience.com%2Fwos%2Fwoscc%2Ffull-record%2FWOS:000226441300018","View Full Record in Web of Science")</f>
        <v>View Full Record in Web of Science</v>
      </c>
    </row>
    <row r="586" spans="1:72" x14ac:dyDescent="0.15">
      <c r="A586" t="s">
        <v>72</v>
      </c>
      <c r="B586" t="s">
        <v>8713</v>
      </c>
      <c r="C586" t="s">
        <v>74</v>
      </c>
      <c r="D586" t="s">
        <v>74</v>
      </c>
      <c r="E586" t="s">
        <v>74</v>
      </c>
      <c r="F586" t="s">
        <v>8713</v>
      </c>
      <c r="G586" t="s">
        <v>74</v>
      </c>
      <c r="H586" t="s">
        <v>74</v>
      </c>
      <c r="I586" t="s">
        <v>8714</v>
      </c>
      <c r="J586" t="s">
        <v>1868</v>
      </c>
      <c r="K586" t="s">
        <v>74</v>
      </c>
      <c r="L586" t="s">
        <v>74</v>
      </c>
      <c r="M586" t="s">
        <v>77</v>
      </c>
      <c r="N586" t="s">
        <v>78</v>
      </c>
      <c r="O586" t="s">
        <v>74</v>
      </c>
      <c r="P586" t="s">
        <v>74</v>
      </c>
      <c r="Q586" t="s">
        <v>74</v>
      </c>
      <c r="R586" t="s">
        <v>74</v>
      </c>
      <c r="S586" t="s">
        <v>74</v>
      </c>
      <c r="T586" t="s">
        <v>74</v>
      </c>
      <c r="U586" t="s">
        <v>8715</v>
      </c>
      <c r="V586" t="s">
        <v>8716</v>
      </c>
      <c r="W586" t="s">
        <v>3843</v>
      </c>
      <c r="X586" t="s">
        <v>3844</v>
      </c>
      <c r="Y586" t="s">
        <v>8717</v>
      </c>
      <c r="Z586" t="s">
        <v>8718</v>
      </c>
      <c r="AA586" t="s">
        <v>74</v>
      </c>
      <c r="AB586" t="s">
        <v>8719</v>
      </c>
      <c r="AC586" t="s">
        <v>74</v>
      </c>
      <c r="AD586" t="s">
        <v>74</v>
      </c>
      <c r="AE586" t="s">
        <v>74</v>
      </c>
      <c r="AF586" t="s">
        <v>74</v>
      </c>
      <c r="AG586">
        <v>69</v>
      </c>
      <c r="AH586">
        <v>117</v>
      </c>
      <c r="AI586">
        <v>130</v>
      </c>
      <c r="AJ586">
        <v>0</v>
      </c>
      <c r="AK586">
        <v>29</v>
      </c>
      <c r="AL586" t="s">
        <v>527</v>
      </c>
      <c r="AM586" t="s">
        <v>528</v>
      </c>
      <c r="AN586" t="s">
        <v>529</v>
      </c>
      <c r="AO586" t="s">
        <v>1877</v>
      </c>
      <c r="AP586" t="s">
        <v>74</v>
      </c>
      <c r="AQ586" t="s">
        <v>74</v>
      </c>
      <c r="AR586" t="s">
        <v>1879</v>
      </c>
      <c r="AS586" t="s">
        <v>1880</v>
      </c>
      <c r="AT586" t="s">
        <v>8681</v>
      </c>
      <c r="AU586">
        <v>2005</v>
      </c>
      <c r="AV586">
        <v>110</v>
      </c>
      <c r="AW586" t="s">
        <v>8720</v>
      </c>
      <c r="AX586" t="s">
        <v>74</v>
      </c>
      <c r="AY586" t="s">
        <v>74</v>
      </c>
      <c r="AZ586" t="s">
        <v>74</v>
      </c>
      <c r="BA586" t="s">
        <v>74</v>
      </c>
      <c r="BB586" t="s">
        <v>74</v>
      </c>
      <c r="BC586" t="s">
        <v>74</v>
      </c>
      <c r="BD586" t="s">
        <v>8721</v>
      </c>
      <c r="BE586" t="s">
        <v>8722</v>
      </c>
      <c r="BF586" t="str">
        <f>HYPERLINK("http://dx.doi.org/10.1029/2004JD005162","http://dx.doi.org/10.1029/2004JD005162")</f>
        <v>http://dx.doi.org/10.1029/2004JD005162</v>
      </c>
      <c r="BG586" t="s">
        <v>74</v>
      </c>
      <c r="BH586" t="s">
        <v>74</v>
      </c>
      <c r="BI586">
        <v>22</v>
      </c>
      <c r="BJ586" t="s">
        <v>401</v>
      </c>
      <c r="BK586" t="s">
        <v>95</v>
      </c>
      <c r="BL586" t="s">
        <v>401</v>
      </c>
      <c r="BM586" t="s">
        <v>8723</v>
      </c>
      <c r="BN586" t="s">
        <v>74</v>
      </c>
      <c r="BO586" t="s">
        <v>855</v>
      </c>
      <c r="BP586" t="s">
        <v>74</v>
      </c>
      <c r="BQ586" t="s">
        <v>74</v>
      </c>
      <c r="BR586" t="s">
        <v>97</v>
      </c>
      <c r="BS586" t="s">
        <v>8724</v>
      </c>
      <c r="BT586" t="str">
        <f>HYPERLINK("https%3A%2F%2Fwww.webofscience.com%2Fwos%2Fwoscc%2Ffull-record%2FWOS:000226548200005","View Full Record in Web of Science")</f>
        <v>View Full Record in Web of Science</v>
      </c>
    </row>
    <row r="587" spans="1:72" x14ac:dyDescent="0.15">
      <c r="A587" t="s">
        <v>72</v>
      </c>
      <c r="B587" t="s">
        <v>8725</v>
      </c>
      <c r="C587" t="s">
        <v>74</v>
      </c>
      <c r="D587" t="s">
        <v>74</v>
      </c>
      <c r="E587" t="s">
        <v>74</v>
      </c>
      <c r="F587" t="s">
        <v>8725</v>
      </c>
      <c r="G587" t="s">
        <v>74</v>
      </c>
      <c r="H587" t="s">
        <v>74</v>
      </c>
      <c r="I587" t="s">
        <v>8726</v>
      </c>
      <c r="J587" t="s">
        <v>2790</v>
      </c>
      <c r="K587" t="s">
        <v>74</v>
      </c>
      <c r="L587" t="s">
        <v>74</v>
      </c>
      <c r="M587" t="s">
        <v>77</v>
      </c>
      <c r="N587" t="s">
        <v>78</v>
      </c>
      <c r="O587" t="s">
        <v>74</v>
      </c>
      <c r="P587" t="s">
        <v>74</v>
      </c>
      <c r="Q587" t="s">
        <v>74</v>
      </c>
      <c r="R587" t="s">
        <v>74</v>
      </c>
      <c r="S587" t="s">
        <v>74</v>
      </c>
      <c r="T587" t="s">
        <v>8727</v>
      </c>
      <c r="U587" t="s">
        <v>8728</v>
      </c>
      <c r="V587" t="s">
        <v>8729</v>
      </c>
      <c r="W587" t="s">
        <v>8730</v>
      </c>
      <c r="X587" t="s">
        <v>8731</v>
      </c>
      <c r="Y587" t="s">
        <v>8732</v>
      </c>
      <c r="Z587" t="s">
        <v>8733</v>
      </c>
      <c r="AA587" t="s">
        <v>8734</v>
      </c>
      <c r="AB587" t="s">
        <v>8735</v>
      </c>
      <c r="AC587" t="s">
        <v>74</v>
      </c>
      <c r="AD587" t="s">
        <v>74</v>
      </c>
      <c r="AE587" t="s">
        <v>74</v>
      </c>
      <c r="AF587" t="s">
        <v>74</v>
      </c>
      <c r="AG587">
        <v>76</v>
      </c>
      <c r="AH587">
        <v>76</v>
      </c>
      <c r="AI587">
        <v>87</v>
      </c>
      <c r="AJ587">
        <v>1</v>
      </c>
      <c r="AK587">
        <v>23</v>
      </c>
      <c r="AL587" t="s">
        <v>456</v>
      </c>
      <c r="AM587" t="s">
        <v>436</v>
      </c>
      <c r="AN587" t="s">
        <v>457</v>
      </c>
      <c r="AO587" t="s">
        <v>2800</v>
      </c>
      <c r="AP587" t="s">
        <v>74</v>
      </c>
      <c r="AQ587" t="s">
        <v>74</v>
      </c>
      <c r="AR587" t="s">
        <v>2801</v>
      </c>
      <c r="AS587" t="s">
        <v>2802</v>
      </c>
      <c r="AT587" t="s">
        <v>8681</v>
      </c>
      <c r="AU587">
        <v>2005</v>
      </c>
      <c r="AV587">
        <v>93</v>
      </c>
      <c r="AW587" t="s">
        <v>5194</v>
      </c>
      <c r="AX587" t="s">
        <v>74</v>
      </c>
      <c r="AY587" t="s">
        <v>74</v>
      </c>
      <c r="AZ587" t="s">
        <v>74</v>
      </c>
      <c r="BA587" t="s">
        <v>74</v>
      </c>
      <c r="BB587">
        <v>119</v>
      </c>
      <c r="BC587">
        <v>129</v>
      </c>
      <c r="BD587" t="s">
        <v>74</v>
      </c>
      <c r="BE587" t="s">
        <v>8736</v>
      </c>
      <c r="BF587" t="str">
        <f>HYPERLINK("http://dx.doi.org/10.1016/j.marchem.2004.03.021","http://dx.doi.org/10.1016/j.marchem.2004.03.021")</f>
        <v>http://dx.doi.org/10.1016/j.marchem.2004.03.021</v>
      </c>
      <c r="BG587" t="s">
        <v>74</v>
      </c>
      <c r="BH587" t="s">
        <v>74</v>
      </c>
      <c r="BI587">
        <v>11</v>
      </c>
      <c r="BJ587" t="s">
        <v>2805</v>
      </c>
      <c r="BK587" t="s">
        <v>95</v>
      </c>
      <c r="BL587" t="s">
        <v>2806</v>
      </c>
      <c r="BM587" t="s">
        <v>8737</v>
      </c>
      <c r="BN587" t="s">
        <v>74</v>
      </c>
      <c r="BO587" t="s">
        <v>74</v>
      </c>
      <c r="BP587" t="s">
        <v>74</v>
      </c>
      <c r="BQ587" t="s">
        <v>74</v>
      </c>
      <c r="BR587" t="s">
        <v>97</v>
      </c>
      <c r="BS587" t="s">
        <v>8738</v>
      </c>
      <c r="BT587" t="str">
        <f>HYPERLINK("https%3A%2F%2Fwww.webofscience.com%2Fwos%2Fwoscc%2Ffull-record%2FWOS:000226656700003","View Full Record in Web of Science")</f>
        <v>View Full Record in Web of Science</v>
      </c>
    </row>
    <row r="588" spans="1:72" x14ac:dyDescent="0.15">
      <c r="A588" t="s">
        <v>72</v>
      </c>
      <c r="B588" t="s">
        <v>8739</v>
      </c>
      <c r="C588" t="s">
        <v>74</v>
      </c>
      <c r="D588" t="s">
        <v>74</v>
      </c>
      <c r="E588" t="s">
        <v>74</v>
      </c>
      <c r="F588" t="s">
        <v>8739</v>
      </c>
      <c r="G588" t="s">
        <v>74</v>
      </c>
      <c r="H588" t="s">
        <v>74</v>
      </c>
      <c r="I588" t="s">
        <v>8740</v>
      </c>
      <c r="J588" t="s">
        <v>8741</v>
      </c>
      <c r="K588" t="s">
        <v>74</v>
      </c>
      <c r="L588" t="s">
        <v>74</v>
      </c>
      <c r="M588" t="s">
        <v>77</v>
      </c>
      <c r="N588" t="s">
        <v>78</v>
      </c>
      <c r="O588" t="s">
        <v>74</v>
      </c>
      <c r="P588" t="s">
        <v>74</v>
      </c>
      <c r="Q588" t="s">
        <v>74</v>
      </c>
      <c r="R588" t="s">
        <v>74</v>
      </c>
      <c r="S588" t="s">
        <v>74</v>
      </c>
      <c r="T588" t="s">
        <v>8742</v>
      </c>
      <c r="U588" t="s">
        <v>8743</v>
      </c>
      <c r="V588" t="s">
        <v>8744</v>
      </c>
      <c r="W588" t="s">
        <v>8745</v>
      </c>
      <c r="X588" t="s">
        <v>2951</v>
      </c>
      <c r="Y588" t="s">
        <v>5140</v>
      </c>
      <c r="Z588" t="s">
        <v>8746</v>
      </c>
      <c r="AA588" t="s">
        <v>8747</v>
      </c>
      <c r="AB588" t="s">
        <v>8748</v>
      </c>
      <c r="AC588" t="s">
        <v>74</v>
      </c>
      <c r="AD588" t="s">
        <v>74</v>
      </c>
      <c r="AE588" t="s">
        <v>74</v>
      </c>
      <c r="AF588" t="s">
        <v>74</v>
      </c>
      <c r="AG588">
        <v>57</v>
      </c>
      <c r="AH588">
        <v>37</v>
      </c>
      <c r="AI588">
        <v>41</v>
      </c>
      <c r="AJ588">
        <v>0</v>
      </c>
      <c r="AK588">
        <v>14</v>
      </c>
      <c r="AL588" t="s">
        <v>738</v>
      </c>
      <c r="AM588" t="s">
        <v>739</v>
      </c>
      <c r="AN588" t="s">
        <v>740</v>
      </c>
      <c r="AO588" t="s">
        <v>8749</v>
      </c>
      <c r="AP588" t="s">
        <v>8750</v>
      </c>
      <c r="AQ588" t="s">
        <v>74</v>
      </c>
      <c r="AR588" t="s">
        <v>8751</v>
      </c>
      <c r="AS588" t="s">
        <v>8752</v>
      </c>
      <c r="AT588" t="s">
        <v>8681</v>
      </c>
      <c r="AU588">
        <v>2005</v>
      </c>
      <c r="AV588">
        <v>363</v>
      </c>
      <c r="AW588">
        <v>1826</v>
      </c>
      <c r="AX588" t="s">
        <v>74</v>
      </c>
      <c r="AY588" t="s">
        <v>74</v>
      </c>
      <c r="AZ588" t="s">
        <v>74</v>
      </c>
      <c r="BA588" t="s">
        <v>74</v>
      </c>
      <c r="BB588">
        <v>81</v>
      </c>
      <c r="BC588">
        <v>99</v>
      </c>
      <c r="BD588" t="s">
        <v>74</v>
      </c>
      <c r="BE588" t="s">
        <v>8753</v>
      </c>
      <c r="BF588" t="str">
        <f>HYPERLINK("http://dx.doi.org/10.1098/rsta.2004.1480","http://dx.doi.org/10.1098/rsta.2004.1480")</f>
        <v>http://dx.doi.org/10.1098/rsta.2004.1480</v>
      </c>
      <c r="BG588" t="s">
        <v>74</v>
      </c>
      <c r="BH588" t="s">
        <v>74</v>
      </c>
      <c r="BI588">
        <v>19</v>
      </c>
      <c r="BJ588" t="s">
        <v>682</v>
      </c>
      <c r="BK588" t="s">
        <v>95</v>
      </c>
      <c r="BL588" t="s">
        <v>683</v>
      </c>
      <c r="BM588" t="s">
        <v>8754</v>
      </c>
      <c r="BN588">
        <v>15598625</v>
      </c>
      <c r="BO588" t="s">
        <v>74</v>
      </c>
      <c r="BP588" t="s">
        <v>74</v>
      </c>
      <c r="BQ588" t="s">
        <v>74</v>
      </c>
      <c r="BR588" t="s">
        <v>97</v>
      </c>
      <c r="BS588" t="s">
        <v>8755</v>
      </c>
      <c r="BT588" t="str">
        <f>HYPERLINK("https%3A%2F%2Fwww.webofscience.com%2Fwos%2Fwoscc%2Ffull-record%2FWOS:000225970100010","View Full Record in Web of Science")</f>
        <v>View Full Record in Web of Science</v>
      </c>
    </row>
    <row r="589" spans="1:72" x14ac:dyDescent="0.15">
      <c r="A589" t="s">
        <v>72</v>
      </c>
      <c r="B589" t="s">
        <v>8756</v>
      </c>
      <c r="C589" t="s">
        <v>74</v>
      </c>
      <c r="D589" t="s">
        <v>74</v>
      </c>
      <c r="E589" t="s">
        <v>74</v>
      </c>
      <c r="F589" t="s">
        <v>8756</v>
      </c>
      <c r="G589" t="s">
        <v>74</v>
      </c>
      <c r="H589" t="s">
        <v>74</v>
      </c>
      <c r="I589" t="s">
        <v>8757</v>
      </c>
      <c r="J589" t="s">
        <v>2384</v>
      </c>
      <c r="K589" t="s">
        <v>74</v>
      </c>
      <c r="L589" t="s">
        <v>74</v>
      </c>
      <c r="M589" t="s">
        <v>77</v>
      </c>
      <c r="N589" t="s">
        <v>78</v>
      </c>
      <c r="O589" t="s">
        <v>74</v>
      </c>
      <c r="P589" t="s">
        <v>74</v>
      </c>
      <c r="Q589" t="s">
        <v>74</v>
      </c>
      <c r="R589" t="s">
        <v>74</v>
      </c>
      <c r="S589" t="s">
        <v>74</v>
      </c>
      <c r="T589" t="s">
        <v>8758</v>
      </c>
      <c r="U589" t="s">
        <v>8759</v>
      </c>
      <c r="V589" t="s">
        <v>8760</v>
      </c>
      <c r="W589" t="s">
        <v>8761</v>
      </c>
      <c r="X589" t="s">
        <v>8762</v>
      </c>
      <c r="Y589" t="s">
        <v>8763</v>
      </c>
      <c r="Z589" t="s">
        <v>8764</v>
      </c>
      <c r="AA589" t="s">
        <v>8765</v>
      </c>
      <c r="AB589" t="s">
        <v>8766</v>
      </c>
      <c r="AC589" t="s">
        <v>74</v>
      </c>
      <c r="AD589" t="s">
        <v>74</v>
      </c>
      <c r="AE589" t="s">
        <v>74</v>
      </c>
      <c r="AF589" t="s">
        <v>74</v>
      </c>
      <c r="AG589">
        <v>37</v>
      </c>
      <c r="AH589">
        <v>15</v>
      </c>
      <c r="AI589">
        <v>15</v>
      </c>
      <c r="AJ589">
        <v>1</v>
      </c>
      <c r="AK589">
        <v>13</v>
      </c>
      <c r="AL589" t="s">
        <v>527</v>
      </c>
      <c r="AM589" t="s">
        <v>528</v>
      </c>
      <c r="AN589" t="s">
        <v>529</v>
      </c>
      <c r="AO589" t="s">
        <v>74</v>
      </c>
      <c r="AP589" t="s">
        <v>2393</v>
      </c>
      <c r="AQ589" t="s">
        <v>74</v>
      </c>
      <c r="AR589" t="s">
        <v>2394</v>
      </c>
      <c r="AS589" t="s">
        <v>2395</v>
      </c>
      <c r="AT589" t="s">
        <v>8767</v>
      </c>
      <c r="AU589">
        <v>2005</v>
      </c>
      <c r="AV589">
        <v>6</v>
      </c>
      <c r="AW589" t="s">
        <v>74</v>
      </c>
      <c r="AX589" t="s">
        <v>74</v>
      </c>
      <c r="AY589" t="s">
        <v>74</v>
      </c>
      <c r="AZ589" t="s">
        <v>74</v>
      </c>
      <c r="BA589" t="s">
        <v>74</v>
      </c>
      <c r="BB589" t="s">
        <v>74</v>
      </c>
      <c r="BC589" t="s">
        <v>74</v>
      </c>
      <c r="BD589" t="s">
        <v>8768</v>
      </c>
      <c r="BE589" t="s">
        <v>8769</v>
      </c>
      <c r="BF589" t="str">
        <f>HYPERLINK("http://dx.doi.org/10.1029/2004GC000802","http://dx.doi.org/10.1029/2004GC000802")</f>
        <v>http://dx.doi.org/10.1029/2004GC000802</v>
      </c>
      <c r="BG589" t="s">
        <v>74</v>
      </c>
      <c r="BH589" t="s">
        <v>74</v>
      </c>
      <c r="BI589">
        <v>18</v>
      </c>
      <c r="BJ589" t="s">
        <v>381</v>
      </c>
      <c r="BK589" t="s">
        <v>95</v>
      </c>
      <c r="BL589" t="s">
        <v>381</v>
      </c>
      <c r="BM589" t="s">
        <v>8770</v>
      </c>
      <c r="BN589" t="s">
        <v>74</v>
      </c>
      <c r="BO589" t="s">
        <v>7638</v>
      </c>
      <c r="BP589" t="s">
        <v>74</v>
      </c>
      <c r="BQ589" t="s">
        <v>74</v>
      </c>
      <c r="BR589" t="s">
        <v>97</v>
      </c>
      <c r="BS589" t="s">
        <v>8771</v>
      </c>
      <c r="BT589" t="str">
        <f>HYPERLINK("https%3A%2F%2Fwww.webofscience.com%2Fwos%2Fwoscc%2Ffull-record%2FWOS:000226546400002","View Full Record in Web of Science")</f>
        <v>View Full Record in Web of Science</v>
      </c>
    </row>
    <row r="590" spans="1:72" x14ac:dyDescent="0.15">
      <c r="A590" t="s">
        <v>72</v>
      </c>
      <c r="B590" t="s">
        <v>8772</v>
      </c>
      <c r="C590" t="s">
        <v>74</v>
      </c>
      <c r="D590" t="s">
        <v>74</v>
      </c>
      <c r="E590" t="s">
        <v>74</v>
      </c>
      <c r="F590" t="s">
        <v>8772</v>
      </c>
      <c r="G590" t="s">
        <v>74</v>
      </c>
      <c r="H590" t="s">
        <v>74</v>
      </c>
      <c r="I590" t="s">
        <v>8773</v>
      </c>
      <c r="J590" t="s">
        <v>668</v>
      </c>
      <c r="K590" t="s">
        <v>74</v>
      </c>
      <c r="L590" t="s">
        <v>74</v>
      </c>
      <c r="M590" t="s">
        <v>77</v>
      </c>
      <c r="N590" t="s">
        <v>78</v>
      </c>
      <c r="O590" t="s">
        <v>74</v>
      </c>
      <c r="P590" t="s">
        <v>74</v>
      </c>
      <c r="Q590" t="s">
        <v>74</v>
      </c>
      <c r="R590" t="s">
        <v>74</v>
      </c>
      <c r="S590" t="s">
        <v>74</v>
      </c>
      <c r="T590" t="s">
        <v>74</v>
      </c>
      <c r="U590" t="s">
        <v>8774</v>
      </c>
      <c r="V590" t="s">
        <v>8775</v>
      </c>
      <c r="W590" t="s">
        <v>670</v>
      </c>
      <c r="X590" t="s">
        <v>671</v>
      </c>
      <c r="Y590" t="s">
        <v>8776</v>
      </c>
      <c r="Z590" t="s">
        <v>74</v>
      </c>
      <c r="AA590" t="s">
        <v>74</v>
      </c>
      <c r="AB590" t="s">
        <v>74</v>
      </c>
      <c r="AC590" t="s">
        <v>74</v>
      </c>
      <c r="AD590" t="s">
        <v>74</v>
      </c>
      <c r="AE590" t="s">
        <v>74</v>
      </c>
      <c r="AF590" t="s">
        <v>74</v>
      </c>
      <c r="AG590">
        <v>11</v>
      </c>
      <c r="AH590">
        <v>246</v>
      </c>
      <c r="AI590">
        <v>278</v>
      </c>
      <c r="AJ590">
        <v>3</v>
      </c>
      <c r="AK590">
        <v>87</v>
      </c>
      <c r="AL590" t="s">
        <v>676</v>
      </c>
      <c r="AM590" t="s">
        <v>528</v>
      </c>
      <c r="AN590" t="s">
        <v>677</v>
      </c>
      <c r="AO590" t="s">
        <v>678</v>
      </c>
      <c r="AP590" t="s">
        <v>74</v>
      </c>
      <c r="AQ590" t="s">
        <v>74</v>
      </c>
      <c r="AR590" t="s">
        <v>668</v>
      </c>
      <c r="AS590" t="s">
        <v>679</v>
      </c>
      <c r="AT590" t="s">
        <v>8767</v>
      </c>
      <c r="AU590">
        <v>2005</v>
      </c>
      <c r="AV590">
        <v>307</v>
      </c>
      <c r="AW590">
        <v>5707</v>
      </c>
      <c r="AX590" t="s">
        <v>74</v>
      </c>
      <c r="AY590" t="s">
        <v>74</v>
      </c>
      <c r="AZ590" t="s">
        <v>74</v>
      </c>
      <c r="BA590" t="s">
        <v>74</v>
      </c>
      <c r="BB590">
        <v>249</v>
      </c>
      <c r="BC590">
        <v>250</v>
      </c>
      <c r="BD590" t="s">
        <v>74</v>
      </c>
      <c r="BE590" t="s">
        <v>8777</v>
      </c>
      <c r="BF590" t="str">
        <f>HYPERLINK("http://dx.doi.org/10.1126/science.1106042","http://dx.doi.org/10.1126/science.1106042")</f>
        <v>http://dx.doi.org/10.1126/science.1106042</v>
      </c>
      <c r="BG590" t="s">
        <v>74</v>
      </c>
      <c r="BH590" t="s">
        <v>74</v>
      </c>
      <c r="BI590">
        <v>2</v>
      </c>
      <c r="BJ590" t="s">
        <v>682</v>
      </c>
      <c r="BK590" t="s">
        <v>95</v>
      </c>
      <c r="BL590" t="s">
        <v>683</v>
      </c>
      <c r="BM590" t="s">
        <v>8778</v>
      </c>
      <c r="BN590">
        <v>15653503</v>
      </c>
      <c r="BO590" t="s">
        <v>74</v>
      </c>
      <c r="BP590" t="s">
        <v>74</v>
      </c>
      <c r="BQ590" t="s">
        <v>74</v>
      </c>
      <c r="BR590" t="s">
        <v>97</v>
      </c>
      <c r="BS590" t="s">
        <v>8779</v>
      </c>
      <c r="BT590" t="str">
        <f>HYPERLINK("https%3A%2F%2Fwww.webofscience.com%2Fwos%2Fwoscc%2Ffull-record%2FWOS:000226361900041","View Full Record in Web of Science")</f>
        <v>View Full Record in Web of Science</v>
      </c>
    </row>
    <row r="591" spans="1:72" x14ac:dyDescent="0.15">
      <c r="A591" t="s">
        <v>72</v>
      </c>
      <c r="B591" t="s">
        <v>8780</v>
      </c>
      <c r="C591" t="s">
        <v>74</v>
      </c>
      <c r="D591" t="s">
        <v>74</v>
      </c>
      <c r="E591" t="s">
        <v>74</v>
      </c>
      <c r="F591" t="s">
        <v>8780</v>
      </c>
      <c r="G591" t="s">
        <v>74</v>
      </c>
      <c r="H591" t="s">
        <v>74</v>
      </c>
      <c r="I591" t="s">
        <v>8781</v>
      </c>
      <c r="J591" t="s">
        <v>519</v>
      </c>
      <c r="K591" t="s">
        <v>74</v>
      </c>
      <c r="L591" t="s">
        <v>74</v>
      </c>
      <c r="M591" t="s">
        <v>77</v>
      </c>
      <c r="N591" t="s">
        <v>78</v>
      </c>
      <c r="O591" t="s">
        <v>74</v>
      </c>
      <c r="P591" t="s">
        <v>74</v>
      </c>
      <c r="Q591" t="s">
        <v>74</v>
      </c>
      <c r="R591" t="s">
        <v>74</v>
      </c>
      <c r="S591" t="s">
        <v>74</v>
      </c>
      <c r="T591" t="s">
        <v>74</v>
      </c>
      <c r="U591" t="s">
        <v>8782</v>
      </c>
      <c r="V591" t="s">
        <v>8783</v>
      </c>
      <c r="W591" t="s">
        <v>8784</v>
      </c>
      <c r="X591" t="s">
        <v>8785</v>
      </c>
      <c r="Y591" t="s">
        <v>5229</v>
      </c>
      <c r="Z591" t="s">
        <v>8786</v>
      </c>
      <c r="AA591" t="s">
        <v>8787</v>
      </c>
      <c r="AB591" t="s">
        <v>8788</v>
      </c>
      <c r="AC591" t="s">
        <v>74</v>
      </c>
      <c r="AD591" t="s">
        <v>74</v>
      </c>
      <c r="AE591" t="s">
        <v>74</v>
      </c>
      <c r="AF591" t="s">
        <v>74</v>
      </c>
      <c r="AG591">
        <v>19</v>
      </c>
      <c r="AH591">
        <v>40</v>
      </c>
      <c r="AI591">
        <v>42</v>
      </c>
      <c r="AJ591">
        <v>0</v>
      </c>
      <c r="AK591">
        <v>7</v>
      </c>
      <c r="AL591" t="s">
        <v>527</v>
      </c>
      <c r="AM591" t="s">
        <v>528</v>
      </c>
      <c r="AN591" t="s">
        <v>529</v>
      </c>
      <c r="AO591" t="s">
        <v>530</v>
      </c>
      <c r="AP591" t="s">
        <v>531</v>
      </c>
      <c r="AQ591" t="s">
        <v>74</v>
      </c>
      <c r="AR591" t="s">
        <v>532</v>
      </c>
      <c r="AS591" t="s">
        <v>533</v>
      </c>
      <c r="AT591" t="s">
        <v>8789</v>
      </c>
      <c r="AU591">
        <v>2005</v>
      </c>
      <c r="AV591">
        <v>32</v>
      </c>
      <c r="AW591">
        <v>1</v>
      </c>
      <c r="AX591" t="s">
        <v>74</v>
      </c>
      <c r="AY591" t="s">
        <v>74</v>
      </c>
      <c r="AZ591" t="s">
        <v>74</v>
      </c>
      <c r="BA591" t="s">
        <v>74</v>
      </c>
      <c r="BB591" t="s">
        <v>74</v>
      </c>
      <c r="BC591" t="s">
        <v>74</v>
      </c>
      <c r="BD591" t="s">
        <v>8790</v>
      </c>
      <c r="BE591" t="s">
        <v>8791</v>
      </c>
      <c r="BF591" t="str">
        <f>HYPERLINK("http://dx.doi.org/10.1029/2004GL021449","http://dx.doi.org/10.1029/2004GL021449")</f>
        <v>http://dx.doi.org/10.1029/2004GL021449</v>
      </c>
      <c r="BG591" t="s">
        <v>74</v>
      </c>
      <c r="BH591" t="s">
        <v>74</v>
      </c>
      <c r="BI591">
        <v>4</v>
      </c>
      <c r="BJ591" t="s">
        <v>537</v>
      </c>
      <c r="BK591" t="s">
        <v>95</v>
      </c>
      <c r="BL591" t="s">
        <v>307</v>
      </c>
      <c r="BM591" t="s">
        <v>8792</v>
      </c>
      <c r="BN591" t="s">
        <v>74</v>
      </c>
      <c r="BO591" t="s">
        <v>750</v>
      </c>
      <c r="BP591" t="s">
        <v>74</v>
      </c>
      <c r="BQ591" t="s">
        <v>74</v>
      </c>
      <c r="BR591" t="s">
        <v>97</v>
      </c>
      <c r="BS591" t="s">
        <v>8793</v>
      </c>
      <c r="BT591" t="str">
        <f>HYPERLINK("https%3A%2F%2Fwww.webofscience.com%2Fwos%2Fwoscc%2Ffull-record%2FWOS:000226546900005","View Full Record in Web of Science")</f>
        <v>View Full Record in Web of Science</v>
      </c>
    </row>
    <row r="592" spans="1:72" x14ac:dyDescent="0.15">
      <c r="A592" t="s">
        <v>72</v>
      </c>
      <c r="B592" t="s">
        <v>8794</v>
      </c>
      <c r="C592" t="s">
        <v>74</v>
      </c>
      <c r="D592" t="s">
        <v>74</v>
      </c>
      <c r="E592" t="s">
        <v>74</v>
      </c>
      <c r="F592" t="s">
        <v>8794</v>
      </c>
      <c r="G592" t="s">
        <v>74</v>
      </c>
      <c r="H592" t="s">
        <v>74</v>
      </c>
      <c r="I592" t="s">
        <v>8795</v>
      </c>
      <c r="J592" t="s">
        <v>859</v>
      </c>
      <c r="K592" t="s">
        <v>74</v>
      </c>
      <c r="L592" t="s">
        <v>74</v>
      </c>
      <c r="M592" t="s">
        <v>77</v>
      </c>
      <c r="N592" t="s">
        <v>78</v>
      </c>
      <c r="O592" t="s">
        <v>74</v>
      </c>
      <c r="P592" t="s">
        <v>74</v>
      </c>
      <c r="Q592" t="s">
        <v>74</v>
      </c>
      <c r="R592" t="s">
        <v>74</v>
      </c>
      <c r="S592" t="s">
        <v>74</v>
      </c>
      <c r="T592" t="s">
        <v>74</v>
      </c>
      <c r="U592" t="s">
        <v>8796</v>
      </c>
      <c r="V592" t="s">
        <v>8797</v>
      </c>
      <c r="W592" t="s">
        <v>8798</v>
      </c>
      <c r="X592" t="s">
        <v>8799</v>
      </c>
      <c r="Y592" t="s">
        <v>8800</v>
      </c>
      <c r="Z592" t="s">
        <v>8801</v>
      </c>
      <c r="AA592" t="s">
        <v>8802</v>
      </c>
      <c r="AB592" t="s">
        <v>8803</v>
      </c>
      <c r="AC592" t="s">
        <v>74</v>
      </c>
      <c r="AD592" t="s">
        <v>74</v>
      </c>
      <c r="AE592" t="s">
        <v>74</v>
      </c>
      <c r="AF592" t="s">
        <v>74</v>
      </c>
      <c r="AG592">
        <v>30</v>
      </c>
      <c r="AH592">
        <v>536</v>
      </c>
      <c r="AI592">
        <v>609</v>
      </c>
      <c r="AJ592">
        <v>2</v>
      </c>
      <c r="AK592">
        <v>171</v>
      </c>
      <c r="AL592" t="s">
        <v>863</v>
      </c>
      <c r="AM592" t="s">
        <v>739</v>
      </c>
      <c r="AN592" t="s">
        <v>864</v>
      </c>
      <c r="AO592" t="s">
        <v>865</v>
      </c>
      <c r="AP592" t="s">
        <v>8804</v>
      </c>
      <c r="AQ592" t="s">
        <v>74</v>
      </c>
      <c r="AR592" t="s">
        <v>859</v>
      </c>
      <c r="AS592" t="s">
        <v>866</v>
      </c>
      <c r="AT592" t="s">
        <v>8805</v>
      </c>
      <c r="AU592">
        <v>2005</v>
      </c>
      <c r="AV592">
        <v>433</v>
      </c>
      <c r="AW592">
        <v>7021</v>
      </c>
      <c r="AX592" t="s">
        <v>74</v>
      </c>
      <c r="AY592" t="s">
        <v>74</v>
      </c>
      <c r="AZ592" t="s">
        <v>74</v>
      </c>
      <c r="BA592" t="s">
        <v>74</v>
      </c>
      <c r="BB592">
        <v>53</v>
      </c>
      <c r="BC592">
        <v>57</v>
      </c>
      <c r="BD592" t="s">
        <v>74</v>
      </c>
      <c r="BE592" t="s">
        <v>8806</v>
      </c>
      <c r="BF592" t="str">
        <f>HYPERLINK("http://dx.doi.org/10.1038/nature03135","http://dx.doi.org/10.1038/nature03135")</f>
        <v>http://dx.doi.org/10.1038/nature03135</v>
      </c>
      <c r="BG592" t="s">
        <v>74</v>
      </c>
      <c r="BH592" t="s">
        <v>74</v>
      </c>
      <c r="BI592">
        <v>5</v>
      </c>
      <c r="BJ592" t="s">
        <v>682</v>
      </c>
      <c r="BK592" t="s">
        <v>95</v>
      </c>
      <c r="BL592" t="s">
        <v>683</v>
      </c>
      <c r="BM592" t="s">
        <v>8807</v>
      </c>
      <c r="BN592">
        <v>15635407</v>
      </c>
      <c r="BO592" t="s">
        <v>74</v>
      </c>
      <c r="BP592" t="s">
        <v>74</v>
      </c>
      <c r="BQ592" t="s">
        <v>74</v>
      </c>
      <c r="BR592" t="s">
        <v>97</v>
      </c>
      <c r="BS592" t="s">
        <v>8808</v>
      </c>
      <c r="BT592" t="str">
        <f>HYPERLINK("https%3A%2F%2Fwww.webofscience.com%2Fwos%2Fwoscc%2Ffull-record%2FWOS:000226117100033","View Full Record in Web of Science")</f>
        <v>View Full Record in Web of Science</v>
      </c>
    </row>
    <row r="593" spans="1:72" x14ac:dyDescent="0.15">
      <c r="A593" t="s">
        <v>72</v>
      </c>
      <c r="B593" t="s">
        <v>8809</v>
      </c>
      <c r="C593" t="s">
        <v>74</v>
      </c>
      <c r="D593" t="s">
        <v>74</v>
      </c>
      <c r="E593" t="s">
        <v>74</v>
      </c>
      <c r="F593" t="s">
        <v>8809</v>
      </c>
      <c r="G593" t="s">
        <v>74</v>
      </c>
      <c r="H593" t="s">
        <v>74</v>
      </c>
      <c r="I593" t="s">
        <v>8810</v>
      </c>
      <c r="J593" t="s">
        <v>785</v>
      </c>
      <c r="K593" t="s">
        <v>74</v>
      </c>
      <c r="L593" t="s">
        <v>74</v>
      </c>
      <c r="M593" t="s">
        <v>77</v>
      </c>
      <c r="N593" t="s">
        <v>78</v>
      </c>
      <c r="O593" t="s">
        <v>74</v>
      </c>
      <c r="P593" t="s">
        <v>74</v>
      </c>
      <c r="Q593" t="s">
        <v>74</v>
      </c>
      <c r="R593" t="s">
        <v>74</v>
      </c>
      <c r="S593" t="s">
        <v>74</v>
      </c>
      <c r="T593" t="s">
        <v>8811</v>
      </c>
      <c r="U593" t="s">
        <v>8812</v>
      </c>
      <c r="V593" t="s">
        <v>8813</v>
      </c>
      <c r="W593" t="s">
        <v>8814</v>
      </c>
      <c r="X593" t="s">
        <v>8815</v>
      </c>
      <c r="Y593" t="s">
        <v>8816</v>
      </c>
      <c r="Z593" t="s">
        <v>8817</v>
      </c>
      <c r="AA593" t="s">
        <v>793</v>
      </c>
      <c r="AB593" t="s">
        <v>794</v>
      </c>
      <c r="AC593" t="s">
        <v>74</v>
      </c>
      <c r="AD593" t="s">
        <v>74</v>
      </c>
      <c r="AE593" t="s">
        <v>74</v>
      </c>
      <c r="AF593" t="s">
        <v>74</v>
      </c>
      <c r="AG593">
        <v>69</v>
      </c>
      <c r="AH593">
        <v>56</v>
      </c>
      <c r="AI593">
        <v>63</v>
      </c>
      <c r="AJ593">
        <v>1</v>
      </c>
      <c r="AK593">
        <v>19</v>
      </c>
      <c r="AL593" t="s">
        <v>456</v>
      </c>
      <c r="AM593" t="s">
        <v>436</v>
      </c>
      <c r="AN593" t="s">
        <v>457</v>
      </c>
      <c r="AO593" t="s">
        <v>795</v>
      </c>
      <c r="AP593" t="s">
        <v>796</v>
      </c>
      <c r="AQ593" t="s">
        <v>74</v>
      </c>
      <c r="AR593" t="s">
        <v>797</v>
      </c>
      <c r="AS593" t="s">
        <v>798</v>
      </c>
      <c r="AT593" t="s">
        <v>8805</v>
      </c>
      <c r="AU593">
        <v>2005</v>
      </c>
      <c r="AV593">
        <v>215</v>
      </c>
      <c r="AW593" t="s">
        <v>961</v>
      </c>
      <c r="AX593" t="s">
        <v>74</v>
      </c>
      <c r="AY593" t="s">
        <v>74</v>
      </c>
      <c r="AZ593" t="s">
        <v>74</v>
      </c>
      <c r="BA593" t="s">
        <v>74</v>
      </c>
      <c r="BB593">
        <v>205</v>
      </c>
      <c r="BC593">
        <v>219</v>
      </c>
      <c r="BD593" t="s">
        <v>74</v>
      </c>
      <c r="BE593" t="s">
        <v>8818</v>
      </c>
      <c r="BF593" t="str">
        <f>HYPERLINK("http://dx.doi.org/10.1016/j.palaeo.2004.09.004","http://dx.doi.org/10.1016/j.palaeo.2004.09.004")</f>
        <v>http://dx.doi.org/10.1016/j.palaeo.2004.09.004</v>
      </c>
      <c r="BG593" t="s">
        <v>74</v>
      </c>
      <c r="BH593" t="s">
        <v>74</v>
      </c>
      <c r="BI593">
        <v>15</v>
      </c>
      <c r="BJ593" t="s">
        <v>801</v>
      </c>
      <c r="BK593" t="s">
        <v>95</v>
      </c>
      <c r="BL593" t="s">
        <v>802</v>
      </c>
      <c r="BM593" t="s">
        <v>8819</v>
      </c>
      <c r="BN593" t="s">
        <v>74</v>
      </c>
      <c r="BO593" t="s">
        <v>750</v>
      </c>
      <c r="BP593" t="s">
        <v>74</v>
      </c>
      <c r="BQ593" t="s">
        <v>74</v>
      </c>
      <c r="BR593" t="s">
        <v>97</v>
      </c>
      <c r="BS593" t="s">
        <v>8820</v>
      </c>
      <c r="BT593" t="str">
        <f>HYPERLINK("https%3A%2F%2Fwww.webofscience.com%2Fwos%2Fwoscc%2Ffull-record%2FWOS:000226314800002","View Full Record in Web of Science")</f>
        <v>View Full Record in Web of Science</v>
      </c>
    </row>
    <row r="594" spans="1:72" x14ac:dyDescent="0.15">
      <c r="A594" t="s">
        <v>72</v>
      </c>
      <c r="B594" t="s">
        <v>8821</v>
      </c>
      <c r="C594" t="s">
        <v>74</v>
      </c>
      <c r="D594" t="s">
        <v>74</v>
      </c>
      <c r="E594" t="s">
        <v>74</v>
      </c>
      <c r="F594" t="s">
        <v>8821</v>
      </c>
      <c r="G594" t="s">
        <v>74</v>
      </c>
      <c r="H594" t="s">
        <v>74</v>
      </c>
      <c r="I594" t="s">
        <v>8822</v>
      </c>
      <c r="J594" t="s">
        <v>519</v>
      </c>
      <c r="K594" t="s">
        <v>74</v>
      </c>
      <c r="L594" t="s">
        <v>74</v>
      </c>
      <c r="M594" t="s">
        <v>77</v>
      </c>
      <c r="N594" t="s">
        <v>78</v>
      </c>
      <c r="O594" t="s">
        <v>74</v>
      </c>
      <c r="P594" t="s">
        <v>74</v>
      </c>
      <c r="Q594" t="s">
        <v>74</v>
      </c>
      <c r="R594" t="s">
        <v>74</v>
      </c>
      <c r="S594" t="s">
        <v>74</v>
      </c>
      <c r="T594" t="s">
        <v>74</v>
      </c>
      <c r="U594" t="s">
        <v>74</v>
      </c>
      <c r="V594" t="s">
        <v>8823</v>
      </c>
      <c r="W594" t="s">
        <v>8824</v>
      </c>
      <c r="X594" t="s">
        <v>8825</v>
      </c>
      <c r="Y594" t="s">
        <v>8826</v>
      </c>
      <c r="Z594" t="s">
        <v>8827</v>
      </c>
      <c r="AA594" t="s">
        <v>8828</v>
      </c>
      <c r="AB594" t="s">
        <v>8829</v>
      </c>
      <c r="AC594" t="s">
        <v>74</v>
      </c>
      <c r="AD594" t="s">
        <v>74</v>
      </c>
      <c r="AE594" t="s">
        <v>74</v>
      </c>
      <c r="AF594" t="s">
        <v>74</v>
      </c>
      <c r="AG594">
        <v>7</v>
      </c>
      <c r="AH594">
        <v>100</v>
      </c>
      <c r="AI594">
        <v>105</v>
      </c>
      <c r="AJ594">
        <v>3</v>
      </c>
      <c r="AK594">
        <v>22</v>
      </c>
      <c r="AL594" t="s">
        <v>527</v>
      </c>
      <c r="AM594" t="s">
        <v>528</v>
      </c>
      <c r="AN594" t="s">
        <v>529</v>
      </c>
      <c r="AO594" t="s">
        <v>530</v>
      </c>
      <c r="AP594" t="s">
        <v>74</v>
      </c>
      <c r="AQ594" t="s">
        <v>74</v>
      </c>
      <c r="AR594" t="s">
        <v>532</v>
      </c>
      <c r="AS594" t="s">
        <v>533</v>
      </c>
      <c r="AT594" t="s">
        <v>8830</v>
      </c>
      <c r="AU594">
        <v>2005</v>
      </c>
      <c r="AV594">
        <v>32</v>
      </c>
      <c r="AW594">
        <v>1</v>
      </c>
      <c r="AX594" t="s">
        <v>74</v>
      </c>
      <c r="AY594" t="s">
        <v>74</v>
      </c>
      <c r="AZ594" t="s">
        <v>74</v>
      </c>
      <c r="BA594" t="s">
        <v>74</v>
      </c>
      <c r="BB594" t="s">
        <v>74</v>
      </c>
      <c r="BC594" t="s">
        <v>74</v>
      </c>
      <c r="BD594" t="s">
        <v>8831</v>
      </c>
      <c r="BE594" t="s">
        <v>8832</v>
      </c>
      <c r="BF594" t="str">
        <f>HYPERLINK("http://dx.doi.org/10.1029/2004GL021391","http://dx.doi.org/10.1029/2004GL021391")</f>
        <v>http://dx.doi.org/10.1029/2004GL021391</v>
      </c>
      <c r="BG594" t="s">
        <v>74</v>
      </c>
      <c r="BH594" t="s">
        <v>74</v>
      </c>
      <c r="BI594">
        <v>4</v>
      </c>
      <c r="BJ594" t="s">
        <v>537</v>
      </c>
      <c r="BK594" t="s">
        <v>95</v>
      </c>
      <c r="BL594" t="s">
        <v>307</v>
      </c>
      <c r="BM594" t="s">
        <v>8833</v>
      </c>
      <c r="BN594" t="s">
        <v>74</v>
      </c>
      <c r="BO594" t="s">
        <v>539</v>
      </c>
      <c r="BP594" t="s">
        <v>74</v>
      </c>
      <c r="BQ594" t="s">
        <v>74</v>
      </c>
      <c r="BR594" t="s">
        <v>97</v>
      </c>
      <c r="BS594" t="s">
        <v>8834</v>
      </c>
      <c r="BT594" t="str">
        <f>HYPERLINK("https%3A%2F%2Fwww.webofscience.com%2Fwos%2Fwoscc%2Ffull-record%2FWOS:000226510500003","View Full Record in Web of Science")</f>
        <v>View Full Record in Web of Science</v>
      </c>
    </row>
    <row r="595" spans="1:72" x14ac:dyDescent="0.15">
      <c r="A595" t="s">
        <v>72</v>
      </c>
      <c r="B595" t="s">
        <v>8835</v>
      </c>
      <c r="C595" t="s">
        <v>74</v>
      </c>
      <c r="D595" t="s">
        <v>74</v>
      </c>
      <c r="E595" t="s">
        <v>74</v>
      </c>
      <c r="F595" t="s">
        <v>8835</v>
      </c>
      <c r="G595" t="s">
        <v>74</v>
      </c>
      <c r="H595" t="s">
        <v>74</v>
      </c>
      <c r="I595" t="s">
        <v>8836</v>
      </c>
      <c r="J595" t="s">
        <v>8837</v>
      </c>
      <c r="K595" t="s">
        <v>74</v>
      </c>
      <c r="L595" t="s">
        <v>74</v>
      </c>
      <c r="M595" t="s">
        <v>77</v>
      </c>
      <c r="N595" t="s">
        <v>78</v>
      </c>
      <c r="O595" t="s">
        <v>74</v>
      </c>
      <c r="P595" t="s">
        <v>74</v>
      </c>
      <c r="Q595" t="s">
        <v>74</v>
      </c>
      <c r="R595" t="s">
        <v>74</v>
      </c>
      <c r="S595" t="s">
        <v>74</v>
      </c>
      <c r="T595" t="s">
        <v>8838</v>
      </c>
      <c r="U595" t="s">
        <v>8839</v>
      </c>
      <c r="V595" t="s">
        <v>8840</v>
      </c>
      <c r="W595" t="s">
        <v>8841</v>
      </c>
      <c r="X595" t="s">
        <v>8842</v>
      </c>
      <c r="Y595" t="s">
        <v>8843</v>
      </c>
      <c r="Z595" t="s">
        <v>8844</v>
      </c>
      <c r="AA595" t="s">
        <v>8845</v>
      </c>
      <c r="AB595" t="s">
        <v>8846</v>
      </c>
      <c r="AC595" t="s">
        <v>74</v>
      </c>
      <c r="AD595" t="s">
        <v>74</v>
      </c>
      <c r="AE595" t="s">
        <v>74</v>
      </c>
      <c r="AF595" t="s">
        <v>74</v>
      </c>
      <c r="AG595">
        <v>44</v>
      </c>
      <c r="AH595">
        <v>10</v>
      </c>
      <c r="AI595">
        <v>19</v>
      </c>
      <c r="AJ595">
        <v>1</v>
      </c>
      <c r="AK595">
        <v>22</v>
      </c>
      <c r="AL595" t="s">
        <v>456</v>
      </c>
      <c r="AM595" t="s">
        <v>436</v>
      </c>
      <c r="AN595" t="s">
        <v>457</v>
      </c>
      <c r="AO595" t="s">
        <v>8847</v>
      </c>
      <c r="AP595" t="s">
        <v>74</v>
      </c>
      <c r="AQ595" t="s">
        <v>74</v>
      </c>
      <c r="AR595" t="s">
        <v>8848</v>
      </c>
      <c r="AS595" t="s">
        <v>8849</v>
      </c>
      <c r="AT595" t="s">
        <v>8830</v>
      </c>
      <c r="AU595">
        <v>2005</v>
      </c>
      <c r="AV595">
        <v>814</v>
      </c>
      <c r="AW595">
        <v>1</v>
      </c>
      <c r="AX595" t="s">
        <v>74</v>
      </c>
      <c r="AY595" t="s">
        <v>74</v>
      </c>
      <c r="AZ595" t="s">
        <v>74</v>
      </c>
      <c r="BA595" t="s">
        <v>74</v>
      </c>
      <c r="BB595">
        <v>83</v>
      </c>
      <c r="BC595">
        <v>91</v>
      </c>
      <c r="BD595" t="s">
        <v>74</v>
      </c>
      <c r="BE595" t="s">
        <v>8850</v>
      </c>
      <c r="BF595" t="str">
        <f>HYPERLINK("http://dx.doi.org/10.1016/j.jchromb.2004.10.008","http://dx.doi.org/10.1016/j.jchromb.2004.10.008")</f>
        <v>http://dx.doi.org/10.1016/j.jchromb.2004.10.008</v>
      </c>
      <c r="BG595" t="s">
        <v>74</v>
      </c>
      <c r="BH595" t="s">
        <v>74</v>
      </c>
      <c r="BI595">
        <v>9</v>
      </c>
      <c r="BJ595" t="s">
        <v>1010</v>
      </c>
      <c r="BK595" t="s">
        <v>95</v>
      </c>
      <c r="BL595" t="s">
        <v>1011</v>
      </c>
      <c r="BM595" t="s">
        <v>8851</v>
      </c>
      <c r="BN595">
        <v>15607711</v>
      </c>
      <c r="BO595" t="s">
        <v>74</v>
      </c>
      <c r="BP595" t="s">
        <v>74</v>
      </c>
      <c r="BQ595" t="s">
        <v>74</v>
      </c>
      <c r="BR595" t="s">
        <v>97</v>
      </c>
      <c r="BS595" t="s">
        <v>8852</v>
      </c>
      <c r="BT595" t="str">
        <f>HYPERLINK("https%3A%2F%2Fwww.webofscience.com%2Fwos%2Fwoscc%2Ffull-record%2FWOS:000226272100011","View Full Record in Web of Science")</f>
        <v>View Full Record in Web of Science</v>
      </c>
    </row>
    <row r="596" spans="1:72" x14ac:dyDescent="0.15">
      <c r="A596" t="s">
        <v>72</v>
      </c>
      <c r="B596" t="s">
        <v>8853</v>
      </c>
      <c r="C596" t="s">
        <v>74</v>
      </c>
      <c r="D596" t="s">
        <v>74</v>
      </c>
      <c r="E596" t="s">
        <v>74</v>
      </c>
      <c r="F596" t="s">
        <v>8853</v>
      </c>
      <c r="G596" t="s">
        <v>74</v>
      </c>
      <c r="H596" t="s">
        <v>74</v>
      </c>
      <c r="I596" t="s">
        <v>8854</v>
      </c>
      <c r="J596" t="s">
        <v>4173</v>
      </c>
      <c r="K596" t="s">
        <v>74</v>
      </c>
      <c r="L596" t="s">
        <v>74</v>
      </c>
      <c r="M596" t="s">
        <v>77</v>
      </c>
      <c r="N596" t="s">
        <v>78</v>
      </c>
      <c r="O596" t="s">
        <v>74</v>
      </c>
      <c r="P596" t="s">
        <v>74</v>
      </c>
      <c r="Q596" t="s">
        <v>74</v>
      </c>
      <c r="R596" t="s">
        <v>74</v>
      </c>
      <c r="S596" t="s">
        <v>74</v>
      </c>
      <c r="T596" t="s">
        <v>8855</v>
      </c>
      <c r="U596" t="s">
        <v>8856</v>
      </c>
      <c r="V596" t="s">
        <v>8857</v>
      </c>
      <c r="W596" t="s">
        <v>8858</v>
      </c>
      <c r="X596" t="s">
        <v>8859</v>
      </c>
      <c r="Y596" t="s">
        <v>8860</v>
      </c>
      <c r="Z596" t="s">
        <v>8861</v>
      </c>
      <c r="AA596" t="s">
        <v>8862</v>
      </c>
      <c r="AB596" t="s">
        <v>74</v>
      </c>
      <c r="AC596" t="s">
        <v>74</v>
      </c>
      <c r="AD596" t="s">
        <v>74</v>
      </c>
      <c r="AE596" t="s">
        <v>74</v>
      </c>
      <c r="AF596" t="s">
        <v>74</v>
      </c>
      <c r="AG596">
        <v>50</v>
      </c>
      <c r="AH596">
        <v>62</v>
      </c>
      <c r="AI596">
        <v>66</v>
      </c>
      <c r="AJ596">
        <v>0</v>
      </c>
      <c r="AK596">
        <v>17</v>
      </c>
      <c r="AL596" t="s">
        <v>456</v>
      </c>
      <c r="AM596" t="s">
        <v>436</v>
      </c>
      <c r="AN596" t="s">
        <v>457</v>
      </c>
      <c r="AO596" t="s">
        <v>4181</v>
      </c>
      <c r="AP596" t="s">
        <v>74</v>
      </c>
      <c r="AQ596" t="s">
        <v>74</v>
      </c>
      <c r="AR596" t="s">
        <v>4183</v>
      </c>
      <c r="AS596" t="s">
        <v>4184</v>
      </c>
      <c r="AT596" t="s">
        <v>8863</v>
      </c>
      <c r="AU596">
        <v>2005</v>
      </c>
      <c r="AV596">
        <v>173</v>
      </c>
      <c r="AW596" t="s">
        <v>887</v>
      </c>
      <c r="AX596" t="s">
        <v>74</v>
      </c>
      <c r="AY596" t="s">
        <v>74</v>
      </c>
      <c r="AZ596" t="s">
        <v>74</v>
      </c>
      <c r="BA596" t="s">
        <v>74</v>
      </c>
      <c r="BB596">
        <v>187</v>
      </c>
      <c r="BC596">
        <v>232</v>
      </c>
      <c r="BD596" t="s">
        <v>74</v>
      </c>
      <c r="BE596" t="s">
        <v>8864</v>
      </c>
      <c r="BF596" t="str">
        <f>HYPERLINK("http://dx.doi.org/10.1016/j.sedgeo.2004.01.017","http://dx.doi.org/10.1016/j.sedgeo.2004.01.017")</f>
        <v>http://dx.doi.org/10.1016/j.sedgeo.2004.01.017</v>
      </c>
      <c r="BG596" t="s">
        <v>74</v>
      </c>
      <c r="BH596" t="s">
        <v>74</v>
      </c>
      <c r="BI596">
        <v>46</v>
      </c>
      <c r="BJ596" t="s">
        <v>307</v>
      </c>
      <c r="BK596" t="s">
        <v>95</v>
      </c>
      <c r="BL596" t="s">
        <v>307</v>
      </c>
      <c r="BM596" t="s">
        <v>8865</v>
      </c>
      <c r="BN596" t="s">
        <v>74</v>
      </c>
      <c r="BO596" t="s">
        <v>74</v>
      </c>
      <c r="BP596" t="s">
        <v>74</v>
      </c>
      <c r="BQ596" t="s">
        <v>74</v>
      </c>
      <c r="BR596" t="s">
        <v>97</v>
      </c>
      <c r="BS596" t="s">
        <v>8866</v>
      </c>
      <c r="BT596" t="str">
        <f>HYPERLINK("https%3A%2F%2Fwww.webofscience.com%2Fwos%2Fwoscc%2Ffull-record%2FWOS:000226841800007","View Full Record in Web of Science")</f>
        <v>View Full Record in Web of Science</v>
      </c>
    </row>
    <row r="597" spans="1:72" x14ac:dyDescent="0.15">
      <c r="A597" t="s">
        <v>8867</v>
      </c>
      <c r="B597" t="s">
        <v>8868</v>
      </c>
      <c r="C597" t="s">
        <v>74</v>
      </c>
      <c r="D597" t="s">
        <v>74</v>
      </c>
      <c r="E597" t="s">
        <v>8869</v>
      </c>
      <c r="F597" t="s">
        <v>8868</v>
      </c>
      <c r="G597" t="s">
        <v>74</v>
      </c>
      <c r="H597" t="s">
        <v>74</v>
      </c>
      <c r="I597" t="s">
        <v>8870</v>
      </c>
      <c r="J597" t="s">
        <v>8871</v>
      </c>
      <c r="K597" t="s">
        <v>8872</v>
      </c>
      <c r="L597" t="s">
        <v>74</v>
      </c>
      <c r="M597" t="s">
        <v>77</v>
      </c>
      <c r="N597" t="s">
        <v>8873</v>
      </c>
      <c r="O597" t="s">
        <v>8874</v>
      </c>
      <c r="P597" t="s">
        <v>8875</v>
      </c>
      <c r="Q597" t="s">
        <v>8876</v>
      </c>
      <c r="R597" t="s">
        <v>74</v>
      </c>
      <c r="S597" t="s">
        <v>74</v>
      </c>
      <c r="T597" t="s">
        <v>8877</v>
      </c>
      <c r="U597" t="s">
        <v>74</v>
      </c>
      <c r="V597" t="s">
        <v>8878</v>
      </c>
      <c r="W597" t="s">
        <v>8879</v>
      </c>
      <c r="X597" t="s">
        <v>8880</v>
      </c>
      <c r="Y597" t="s">
        <v>8881</v>
      </c>
      <c r="Z597" t="s">
        <v>8882</v>
      </c>
      <c r="AA597" t="s">
        <v>74</v>
      </c>
      <c r="AB597" t="s">
        <v>8883</v>
      </c>
      <c r="AC597" t="s">
        <v>74</v>
      </c>
      <c r="AD597" t="s">
        <v>74</v>
      </c>
      <c r="AE597" t="s">
        <v>74</v>
      </c>
      <c r="AF597" t="s">
        <v>74</v>
      </c>
      <c r="AG597">
        <v>13</v>
      </c>
      <c r="AH597">
        <v>20</v>
      </c>
      <c r="AI597">
        <v>21</v>
      </c>
      <c r="AJ597">
        <v>1</v>
      </c>
      <c r="AK597">
        <v>3</v>
      </c>
      <c r="AL597" t="s">
        <v>8869</v>
      </c>
      <c r="AM597" t="s">
        <v>134</v>
      </c>
      <c r="AN597" t="s">
        <v>8884</v>
      </c>
      <c r="AO597" t="s">
        <v>8885</v>
      </c>
      <c r="AP597" t="s">
        <v>8886</v>
      </c>
      <c r="AQ597" t="s">
        <v>8887</v>
      </c>
      <c r="AR597" t="s">
        <v>8888</v>
      </c>
      <c r="AS597" t="s">
        <v>74</v>
      </c>
      <c r="AT597" t="s">
        <v>74</v>
      </c>
      <c r="AU597">
        <v>2005</v>
      </c>
      <c r="AV597" t="s">
        <v>74</v>
      </c>
      <c r="AW597" t="s">
        <v>74</v>
      </c>
      <c r="AX597" t="s">
        <v>74</v>
      </c>
      <c r="AY597" t="s">
        <v>74</v>
      </c>
      <c r="AZ597" t="s">
        <v>74</v>
      </c>
      <c r="BA597" t="s">
        <v>74</v>
      </c>
      <c r="BB597">
        <v>2111</v>
      </c>
      <c r="BC597">
        <v>2116</v>
      </c>
      <c r="BD597" t="s">
        <v>74</v>
      </c>
      <c r="BE597" t="s">
        <v>74</v>
      </c>
      <c r="BF597" t="s">
        <v>74</v>
      </c>
      <c r="BG597" t="s">
        <v>74</v>
      </c>
      <c r="BH597" t="s">
        <v>74</v>
      </c>
      <c r="BI597">
        <v>6</v>
      </c>
      <c r="BJ597" t="s">
        <v>8889</v>
      </c>
      <c r="BK597" t="s">
        <v>8890</v>
      </c>
      <c r="BL597" t="s">
        <v>8889</v>
      </c>
      <c r="BM597" t="s">
        <v>8891</v>
      </c>
      <c r="BN597" t="s">
        <v>74</v>
      </c>
      <c r="BO597" t="s">
        <v>74</v>
      </c>
      <c r="BP597" t="s">
        <v>74</v>
      </c>
      <c r="BQ597" t="s">
        <v>74</v>
      </c>
      <c r="BR597" t="s">
        <v>97</v>
      </c>
      <c r="BS597" t="s">
        <v>8892</v>
      </c>
      <c r="BT597" t="str">
        <f>HYPERLINK("https%3A%2F%2Fwww.webofscience.com%2Fwos%2Fwoscc%2Ffull-record%2FWOS:000235460101147","View Full Record in Web of Science")</f>
        <v>View Full Record in Web of Science</v>
      </c>
    </row>
    <row r="598" spans="1:72" x14ac:dyDescent="0.15">
      <c r="A598" t="s">
        <v>72</v>
      </c>
      <c r="B598" t="s">
        <v>8893</v>
      </c>
      <c r="C598" t="s">
        <v>74</v>
      </c>
      <c r="D598" t="s">
        <v>74</v>
      </c>
      <c r="E598" t="s">
        <v>74</v>
      </c>
      <c r="F598" t="s">
        <v>8894</v>
      </c>
      <c r="G598" t="s">
        <v>74</v>
      </c>
      <c r="H598" t="s">
        <v>74</v>
      </c>
      <c r="I598" t="s">
        <v>8895</v>
      </c>
      <c r="J598" t="s">
        <v>8896</v>
      </c>
      <c r="K598" t="s">
        <v>74</v>
      </c>
      <c r="L598" t="s">
        <v>74</v>
      </c>
      <c r="M598" t="s">
        <v>77</v>
      </c>
      <c r="N598" t="s">
        <v>52</v>
      </c>
      <c r="O598" t="s">
        <v>74</v>
      </c>
      <c r="P598" t="s">
        <v>74</v>
      </c>
      <c r="Q598" t="s">
        <v>74</v>
      </c>
      <c r="R598" t="s">
        <v>74</v>
      </c>
      <c r="S598" t="s">
        <v>74</v>
      </c>
      <c r="T598" t="s">
        <v>8897</v>
      </c>
      <c r="U598" t="s">
        <v>74</v>
      </c>
      <c r="V598" t="s">
        <v>74</v>
      </c>
      <c r="W598" t="s">
        <v>8898</v>
      </c>
      <c r="X598" t="s">
        <v>8899</v>
      </c>
      <c r="Y598" t="s">
        <v>74</v>
      </c>
      <c r="Z598" t="s">
        <v>8900</v>
      </c>
      <c r="AA598" t="s">
        <v>8901</v>
      </c>
      <c r="AB598" t="s">
        <v>74</v>
      </c>
      <c r="AC598" t="s">
        <v>74</v>
      </c>
      <c r="AD598" t="s">
        <v>74</v>
      </c>
      <c r="AE598" t="s">
        <v>74</v>
      </c>
      <c r="AF598" t="s">
        <v>74</v>
      </c>
      <c r="AG598">
        <v>1</v>
      </c>
      <c r="AH598">
        <v>0</v>
      </c>
      <c r="AI598">
        <v>0</v>
      </c>
      <c r="AJ598">
        <v>0</v>
      </c>
      <c r="AK598">
        <v>0</v>
      </c>
      <c r="AL598" t="s">
        <v>5634</v>
      </c>
      <c r="AM598" t="s">
        <v>5635</v>
      </c>
      <c r="AN598" t="s">
        <v>5636</v>
      </c>
      <c r="AO598" t="s">
        <v>8902</v>
      </c>
      <c r="AP598" t="s">
        <v>74</v>
      </c>
      <c r="AQ598" t="s">
        <v>74</v>
      </c>
      <c r="AR598" t="s">
        <v>8903</v>
      </c>
      <c r="AS598" t="s">
        <v>8904</v>
      </c>
      <c r="AT598" t="s">
        <v>74</v>
      </c>
      <c r="AU598">
        <v>2005</v>
      </c>
      <c r="AV598">
        <v>61</v>
      </c>
      <c r="AW598" t="s">
        <v>74</v>
      </c>
      <c r="AX598" t="s">
        <v>74</v>
      </c>
      <c r="AY598" t="s">
        <v>1269</v>
      </c>
      <c r="AZ598" t="s">
        <v>74</v>
      </c>
      <c r="BA598" t="s">
        <v>8905</v>
      </c>
      <c r="BB598" t="s">
        <v>8906</v>
      </c>
      <c r="BC598" t="s">
        <v>8906</v>
      </c>
      <c r="BD598" t="s">
        <v>74</v>
      </c>
      <c r="BE598" t="s">
        <v>8907</v>
      </c>
      <c r="BF598" t="str">
        <f>HYPERLINK("http://dx.doi.org/10.1107/S0108767305090859","http://dx.doi.org/10.1107/S0108767305090859")</f>
        <v>http://dx.doi.org/10.1107/S0108767305090859</v>
      </c>
      <c r="BG598" t="s">
        <v>74</v>
      </c>
      <c r="BH598" t="s">
        <v>74</v>
      </c>
      <c r="BI598">
        <v>1</v>
      </c>
      <c r="BJ598" t="s">
        <v>8908</v>
      </c>
      <c r="BK598" t="s">
        <v>95</v>
      </c>
      <c r="BL598" t="s">
        <v>8909</v>
      </c>
      <c r="BM598" t="s">
        <v>8910</v>
      </c>
      <c r="BN598" t="s">
        <v>74</v>
      </c>
      <c r="BO598" t="s">
        <v>539</v>
      </c>
      <c r="BP598" t="s">
        <v>74</v>
      </c>
      <c r="BQ598" t="s">
        <v>74</v>
      </c>
      <c r="BR598" t="s">
        <v>97</v>
      </c>
      <c r="BS598" t="s">
        <v>8911</v>
      </c>
      <c r="BT598" t="str">
        <f>HYPERLINK("https%3A%2F%2Fwww.webofscience.com%2Fwos%2Fwoscc%2Ffull-record%2FWOS:000478085801150","View Full Record in Web of Science")</f>
        <v>View Full Record in Web of Science</v>
      </c>
    </row>
    <row r="599" spans="1:72" x14ac:dyDescent="0.15">
      <c r="A599" t="s">
        <v>72</v>
      </c>
      <c r="B599" t="s">
        <v>8912</v>
      </c>
      <c r="C599" t="s">
        <v>74</v>
      </c>
      <c r="D599" t="s">
        <v>74</v>
      </c>
      <c r="E599" t="s">
        <v>74</v>
      </c>
      <c r="F599" t="s">
        <v>8912</v>
      </c>
      <c r="G599" t="s">
        <v>74</v>
      </c>
      <c r="H599" t="s">
        <v>74</v>
      </c>
      <c r="I599" t="s">
        <v>8913</v>
      </c>
      <c r="J599" t="s">
        <v>8914</v>
      </c>
      <c r="K599" t="s">
        <v>74</v>
      </c>
      <c r="L599" t="s">
        <v>74</v>
      </c>
      <c r="M599" t="s">
        <v>77</v>
      </c>
      <c r="N599" t="s">
        <v>78</v>
      </c>
      <c r="O599" t="s">
        <v>74</v>
      </c>
      <c r="P599" t="s">
        <v>74</v>
      </c>
      <c r="Q599" t="s">
        <v>74</v>
      </c>
      <c r="R599" t="s">
        <v>74</v>
      </c>
      <c r="S599" t="s">
        <v>74</v>
      </c>
      <c r="T599" t="s">
        <v>8915</v>
      </c>
      <c r="U599" t="s">
        <v>8916</v>
      </c>
      <c r="V599" t="s">
        <v>8917</v>
      </c>
      <c r="W599" t="s">
        <v>8918</v>
      </c>
      <c r="X599" t="s">
        <v>8919</v>
      </c>
      <c r="Y599" t="s">
        <v>8920</v>
      </c>
      <c r="Z599" t="s">
        <v>8921</v>
      </c>
      <c r="AA599" t="s">
        <v>8922</v>
      </c>
      <c r="AB599" t="s">
        <v>74</v>
      </c>
      <c r="AC599" t="s">
        <v>74</v>
      </c>
      <c r="AD599" t="s">
        <v>74</v>
      </c>
      <c r="AE599" t="s">
        <v>74</v>
      </c>
      <c r="AF599" t="s">
        <v>74</v>
      </c>
      <c r="AG599">
        <v>30</v>
      </c>
      <c r="AH599">
        <v>4</v>
      </c>
      <c r="AI599">
        <v>8</v>
      </c>
      <c r="AJ599">
        <v>0</v>
      </c>
      <c r="AK599">
        <v>5</v>
      </c>
      <c r="AL599" t="s">
        <v>133</v>
      </c>
      <c r="AM599" t="s">
        <v>134</v>
      </c>
      <c r="AN599" t="s">
        <v>155</v>
      </c>
      <c r="AO599" t="s">
        <v>8923</v>
      </c>
      <c r="AP599" t="s">
        <v>8924</v>
      </c>
      <c r="AQ599" t="s">
        <v>74</v>
      </c>
      <c r="AR599" t="s">
        <v>8925</v>
      </c>
      <c r="AS599" t="s">
        <v>8926</v>
      </c>
      <c r="AT599" t="s">
        <v>74</v>
      </c>
      <c r="AU599">
        <v>2005</v>
      </c>
      <c r="AV599">
        <v>24</v>
      </c>
      <c r="AW599">
        <v>2</v>
      </c>
      <c r="AX599" t="s">
        <v>74</v>
      </c>
      <c r="AY599" t="s">
        <v>74</v>
      </c>
      <c r="AZ599" t="s">
        <v>74</v>
      </c>
      <c r="BA599" t="s">
        <v>74</v>
      </c>
      <c r="BB599">
        <v>9</v>
      </c>
      <c r="BC599">
        <v>15</v>
      </c>
      <c r="BD599" t="s">
        <v>74</v>
      </c>
      <c r="BE599" t="s">
        <v>74</v>
      </c>
      <c r="BF599" t="s">
        <v>74</v>
      </c>
      <c r="BG599" t="s">
        <v>74</v>
      </c>
      <c r="BH599" t="s">
        <v>74</v>
      </c>
      <c r="BI599">
        <v>7</v>
      </c>
      <c r="BJ599" t="s">
        <v>632</v>
      </c>
      <c r="BK599" t="s">
        <v>95</v>
      </c>
      <c r="BL599" t="s">
        <v>632</v>
      </c>
      <c r="BM599" t="s">
        <v>8927</v>
      </c>
      <c r="BN599" t="s">
        <v>74</v>
      </c>
      <c r="BO599" t="s">
        <v>74</v>
      </c>
      <c r="BP599" t="s">
        <v>74</v>
      </c>
      <c r="BQ599" t="s">
        <v>74</v>
      </c>
      <c r="BR599" t="s">
        <v>97</v>
      </c>
      <c r="BS599" t="s">
        <v>8928</v>
      </c>
      <c r="BT599" t="str">
        <f>HYPERLINK("https%3A%2F%2Fwww.webofscience.com%2Fwos%2Fwoscc%2Ffull-record%2FWOS:000230101100002","View Full Record in Web of Science")</f>
        <v>View Full Record in Web of Science</v>
      </c>
    </row>
    <row r="600" spans="1:72" x14ac:dyDescent="0.15">
      <c r="A600" t="s">
        <v>72</v>
      </c>
      <c r="B600" t="s">
        <v>8929</v>
      </c>
      <c r="C600" t="s">
        <v>74</v>
      </c>
      <c r="D600" t="s">
        <v>74</v>
      </c>
      <c r="E600" t="s">
        <v>74</v>
      </c>
      <c r="F600" t="s">
        <v>8929</v>
      </c>
      <c r="G600" t="s">
        <v>74</v>
      </c>
      <c r="H600" t="s">
        <v>74</v>
      </c>
      <c r="I600" t="s">
        <v>8930</v>
      </c>
      <c r="J600" t="s">
        <v>8914</v>
      </c>
      <c r="K600" t="s">
        <v>74</v>
      </c>
      <c r="L600" t="s">
        <v>74</v>
      </c>
      <c r="M600" t="s">
        <v>77</v>
      </c>
      <c r="N600" t="s">
        <v>78</v>
      </c>
      <c r="O600" t="s">
        <v>74</v>
      </c>
      <c r="P600" t="s">
        <v>74</v>
      </c>
      <c r="Q600" t="s">
        <v>74</v>
      </c>
      <c r="R600" t="s">
        <v>74</v>
      </c>
      <c r="S600" t="s">
        <v>74</v>
      </c>
      <c r="T600" t="s">
        <v>8931</v>
      </c>
      <c r="U600" t="s">
        <v>8932</v>
      </c>
      <c r="V600" t="s">
        <v>8933</v>
      </c>
      <c r="W600" t="s">
        <v>8934</v>
      </c>
      <c r="X600" t="s">
        <v>8935</v>
      </c>
      <c r="Y600" t="s">
        <v>8936</v>
      </c>
      <c r="Z600" t="s">
        <v>8937</v>
      </c>
      <c r="AA600" t="s">
        <v>74</v>
      </c>
      <c r="AB600" t="s">
        <v>74</v>
      </c>
      <c r="AC600" t="s">
        <v>74</v>
      </c>
      <c r="AD600" t="s">
        <v>74</v>
      </c>
      <c r="AE600" t="s">
        <v>74</v>
      </c>
      <c r="AF600" t="s">
        <v>74</v>
      </c>
      <c r="AG600">
        <v>13</v>
      </c>
      <c r="AH600">
        <v>9</v>
      </c>
      <c r="AI600">
        <v>11</v>
      </c>
      <c r="AJ600">
        <v>0</v>
      </c>
      <c r="AK600">
        <v>4</v>
      </c>
      <c r="AL600" t="s">
        <v>133</v>
      </c>
      <c r="AM600" t="s">
        <v>134</v>
      </c>
      <c r="AN600" t="s">
        <v>155</v>
      </c>
      <c r="AO600" t="s">
        <v>8923</v>
      </c>
      <c r="AP600" t="s">
        <v>8924</v>
      </c>
      <c r="AQ600" t="s">
        <v>74</v>
      </c>
      <c r="AR600" t="s">
        <v>8925</v>
      </c>
      <c r="AS600" t="s">
        <v>8926</v>
      </c>
      <c r="AT600" t="s">
        <v>74</v>
      </c>
      <c r="AU600">
        <v>2005</v>
      </c>
      <c r="AV600">
        <v>24</v>
      </c>
      <c r="AW600">
        <v>6</v>
      </c>
      <c r="AX600" t="s">
        <v>74</v>
      </c>
      <c r="AY600" t="s">
        <v>74</v>
      </c>
      <c r="AZ600" t="s">
        <v>74</v>
      </c>
      <c r="BA600" t="s">
        <v>74</v>
      </c>
      <c r="BB600">
        <v>46</v>
      </c>
      <c r="BC600">
        <v>53</v>
      </c>
      <c r="BD600" t="s">
        <v>74</v>
      </c>
      <c r="BE600" t="s">
        <v>74</v>
      </c>
      <c r="BF600" t="s">
        <v>74</v>
      </c>
      <c r="BG600" t="s">
        <v>74</v>
      </c>
      <c r="BH600" t="s">
        <v>74</v>
      </c>
      <c r="BI600">
        <v>8</v>
      </c>
      <c r="BJ600" t="s">
        <v>632</v>
      </c>
      <c r="BK600" t="s">
        <v>95</v>
      </c>
      <c r="BL600" t="s">
        <v>632</v>
      </c>
      <c r="BM600" t="s">
        <v>8938</v>
      </c>
      <c r="BN600" t="s">
        <v>74</v>
      </c>
      <c r="BO600" t="s">
        <v>74</v>
      </c>
      <c r="BP600" t="s">
        <v>74</v>
      </c>
      <c r="BQ600" t="s">
        <v>74</v>
      </c>
      <c r="BR600" t="s">
        <v>97</v>
      </c>
      <c r="BS600" t="s">
        <v>8939</v>
      </c>
      <c r="BT600" t="str">
        <f>HYPERLINK("https%3A%2F%2Fwww.webofscience.com%2Fwos%2Fwoscc%2Ffull-record%2FWOS:000234352600005","View Full Record in Web of Science")</f>
        <v>View Full Record in Web of Science</v>
      </c>
    </row>
    <row r="601" spans="1:72" x14ac:dyDescent="0.15">
      <c r="A601" t="s">
        <v>72</v>
      </c>
      <c r="B601" t="s">
        <v>8940</v>
      </c>
      <c r="C601" t="s">
        <v>74</v>
      </c>
      <c r="D601" t="s">
        <v>74</v>
      </c>
      <c r="E601" t="s">
        <v>74</v>
      </c>
      <c r="F601" t="s">
        <v>8940</v>
      </c>
      <c r="G601" t="s">
        <v>74</v>
      </c>
      <c r="H601" t="s">
        <v>74</v>
      </c>
      <c r="I601" t="s">
        <v>8941</v>
      </c>
      <c r="J601" t="s">
        <v>8914</v>
      </c>
      <c r="K601" t="s">
        <v>74</v>
      </c>
      <c r="L601" t="s">
        <v>74</v>
      </c>
      <c r="M601" t="s">
        <v>77</v>
      </c>
      <c r="N601" t="s">
        <v>78</v>
      </c>
      <c r="O601" t="s">
        <v>74</v>
      </c>
      <c r="P601" t="s">
        <v>74</v>
      </c>
      <c r="Q601" t="s">
        <v>74</v>
      </c>
      <c r="R601" t="s">
        <v>74</v>
      </c>
      <c r="S601" t="s">
        <v>74</v>
      </c>
      <c r="T601" t="s">
        <v>8942</v>
      </c>
      <c r="U601" t="s">
        <v>8943</v>
      </c>
      <c r="V601" t="s">
        <v>8944</v>
      </c>
      <c r="W601" t="s">
        <v>8945</v>
      </c>
      <c r="X601" t="s">
        <v>8946</v>
      </c>
      <c r="Y601" t="s">
        <v>8947</v>
      </c>
      <c r="Z601" t="s">
        <v>8948</v>
      </c>
      <c r="AA601" t="s">
        <v>8949</v>
      </c>
      <c r="AB601" t="s">
        <v>74</v>
      </c>
      <c r="AC601" t="s">
        <v>74</v>
      </c>
      <c r="AD601" t="s">
        <v>74</v>
      </c>
      <c r="AE601" t="s">
        <v>74</v>
      </c>
      <c r="AF601" t="s">
        <v>74</v>
      </c>
      <c r="AG601">
        <v>26</v>
      </c>
      <c r="AH601">
        <v>1</v>
      </c>
      <c r="AI601">
        <v>2</v>
      </c>
      <c r="AJ601">
        <v>0</v>
      </c>
      <c r="AK601">
        <v>5</v>
      </c>
      <c r="AL601" t="s">
        <v>8950</v>
      </c>
      <c r="AM601" t="s">
        <v>2842</v>
      </c>
      <c r="AN601" t="s">
        <v>8951</v>
      </c>
      <c r="AO601" t="s">
        <v>8923</v>
      </c>
      <c r="AP601" t="s">
        <v>74</v>
      </c>
      <c r="AQ601" t="s">
        <v>74</v>
      </c>
      <c r="AR601" t="s">
        <v>8925</v>
      </c>
      <c r="AS601" t="s">
        <v>8926</v>
      </c>
      <c r="AT601" t="s">
        <v>74</v>
      </c>
      <c r="AU601">
        <v>2005</v>
      </c>
      <c r="AV601">
        <v>24</v>
      </c>
      <c r="AW601">
        <v>6</v>
      </c>
      <c r="AX601" t="s">
        <v>74</v>
      </c>
      <c r="AY601" t="s">
        <v>74</v>
      </c>
      <c r="AZ601" t="s">
        <v>74</v>
      </c>
      <c r="BA601" t="s">
        <v>74</v>
      </c>
      <c r="BB601">
        <v>68</v>
      </c>
      <c r="BC601">
        <v>79</v>
      </c>
      <c r="BD601" t="s">
        <v>74</v>
      </c>
      <c r="BE601" t="s">
        <v>74</v>
      </c>
      <c r="BF601" t="s">
        <v>74</v>
      </c>
      <c r="BG601" t="s">
        <v>74</v>
      </c>
      <c r="BH601" t="s">
        <v>74</v>
      </c>
      <c r="BI601">
        <v>12</v>
      </c>
      <c r="BJ601" t="s">
        <v>632</v>
      </c>
      <c r="BK601" t="s">
        <v>95</v>
      </c>
      <c r="BL601" t="s">
        <v>632</v>
      </c>
      <c r="BM601" t="s">
        <v>8938</v>
      </c>
      <c r="BN601" t="s">
        <v>74</v>
      </c>
      <c r="BO601" t="s">
        <v>74</v>
      </c>
      <c r="BP601" t="s">
        <v>74</v>
      </c>
      <c r="BQ601" t="s">
        <v>74</v>
      </c>
      <c r="BR601" t="s">
        <v>97</v>
      </c>
      <c r="BS601" t="s">
        <v>8952</v>
      </c>
      <c r="BT601" t="str">
        <f>HYPERLINK("https%3A%2F%2Fwww.webofscience.com%2Fwos%2Fwoscc%2Ffull-record%2FWOS:000234352600008","View Full Record in Web of Science")</f>
        <v>View Full Record in Web of Science</v>
      </c>
    </row>
    <row r="602" spans="1:72" x14ac:dyDescent="0.15">
      <c r="A602" t="s">
        <v>72</v>
      </c>
      <c r="B602" t="s">
        <v>8953</v>
      </c>
      <c r="C602" t="s">
        <v>74</v>
      </c>
      <c r="D602" t="s">
        <v>74</v>
      </c>
      <c r="E602" t="s">
        <v>74</v>
      </c>
      <c r="F602" t="s">
        <v>8953</v>
      </c>
      <c r="G602" t="s">
        <v>74</v>
      </c>
      <c r="H602" t="s">
        <v>74</v>
      </c>
      <c r="I602" t="s">
        <v>8954</v>
      </c>
      <c r="J602" t="s">
        <v>8914</v>
      </c>
      <c r="K602" t="s">
        <v>74</v>
      </c>
      <c r="L602" t="s">
        <v>74</v>
      </c>
      <c r="M602" t="s">
        <v>77</v>
      </c>
      <c r="N602" t="s">
        <v>78</v>
      </c>
      <c r="O602" t="s">
        <v>74</v>
      </c>
      <c r="P602" t="s">
        <v>74</v>
      </c>
      <c r="Q602" t="s">
        <v>74</v>
      </c>
      <c r="R602" t="s">
        <v>74</v>
      </c>
      <c r="S602" t="s">
        <v>74</v>
      </c>
      <c r="T602" t="s">
        <v>8955</v>
      </c>
      <c r="U602" t="s">
        <v>8956</v>
      </c>
      <c r="V602" t="s">
        <v>8957</v>
      </c>
      <c r="W602" t="s">
        <v>8958</v>
      </c>
      <c r="X602" t="s">
        <v>8959</v>
      </c>
      <c r="Y602" t="s">
        <v>8960</v>
      </c>
      <c r="Z602" t="s">
        <v>8961</v>
      </c>
      <c r="AA602" t="s">
        <v>8962</v>
      </c>
      <c r="AB602" t="s">
        <v>8963</v>
      </c>
      <c r="AC602" t="s">
        <v>74</v>
      </c>
      <c r="AD602" t="s">
        <v>74</v>
      </c>
      <c r="AE602" t="s">
        <v>74</v>
      </c>
      <c r="AF602" t="s">
        <v>74</v>
      </c>
      <c r="AG602">
        <v>39</v>
      </c>
      <c r="AH602">
        <v>21</v>
      </c>
      <c r="AI602">
        <v>23</v>
      </c>
      <c r="AJ602">
        <v>0</v>
      </c>
      <c r="AK602">
        <v>7</v>
      </c>
      <c r="AL602" t="s">
        <v>133</v>
      </c>
      <c r="AM602" t="s">
        <v>134</v>
      </c>
      <c r="AN602" t="s">
        <v>181</v>
      </c>
      <c r="AO602" t="s">
        <v>8923</v>
      </c>
      <c r="AP602" t="s">
        <v>8924</v>
      </c>
      <c r="AQ602" t="s">
        <v>74</v>
      </c>
      <c r="AR602" t="s">
        <v>8925</v>
      </c>
      <c r="AS602" t="s">
        <v>8926</v>
      </c>
      <c r="AT602" t="s">
        <v>74</v>
      </c>
      <c r="AU602">
        <v>2005</v>
      </c>
      <c r="AV602">
        <v>24</v>
      </c>
      <c r="AW602">
        <v>6</v>
      </c>
      <c r="AX602" t="s">
        <v>74</v>
      </c>
      <c r="AY602" t="s">
        <v>74</v>
      </c>
      <c r="AZ602" t="s">
        <v>74</v>
      </c>
      <c r="BA602" t="s">
        <v>74</v>
      </c>
      <c r="BB602">
        <v>97</v>
      </c>
      <c r="BC602">
        <v>108</v>
      </c>
      <c r="BD602" t="s">
        <v>74</v>
      </c>
      <c r="BE602" t="s">
        <v>74</v>
      </c>
      <c r="BF602" t="s">
        <v>74</v>
      </c>
      <c r="BG602" t="s">
        <v>74</v>
      </c>
      <c r="BH602" t="s">
        <v>74</v>
      </c>
      <c r="BI602">
        <v>12</v>
      </c>
      <c r="BJ602" t="s">
        <v>632</v>
      </c>
      <c r="BK602" t="s">
        <v>95</v>
      </c>
      <c r="BL602" t="s">
        <v>632</v>
      </c>
      <c r="BM602" t="s">
        <v>8938</v>
      </c>
      <c r="BN602" t="s">
        <v>74</v>
      </c>
      <c r="BO602" t="s">
        <v>74</v>
      </c>
      <c r="BP602" t="s">
        <v>74</v>
      </c>
      <c r="BQ602" t="s">
        <v>74</v>
      </c>
      <c r="BR602" t="s">
        <v>97</v>
      </c>
      <c r="BS602" t="s">
        <v>8964</v>
      </c>
      <c r="BT602" t="str">
        <f>HYPERLINK("https%3A%2F%2Fwww.webofscience.com%2Fwos%2Fwoscc%2Ffull-record%2FWOS:000234352600011","View Full Record in Web of Science")</f>
        <v>View Full Record in Web of Science</v>
      </c>
    </row>
    <row r="603" spans="1:72" x14ac:dyDescent="0.15">
      <c r="A603" t="s">
        <v>72</v>
      </c>
      <c r="B603" t="s">
        <v>8965</v>
      </c>
      <c r="C603" t="s">
        <v>74</v>
      </c>
      <c r="D603" t="s">
        <v>74</v>
      </c>
      <c r="E603" t="s">
        <v>74</v>
      </c>
      <c r="F603" t="s">
        <v>8965</v>
      </c>
      <c r="G603" t="s">
        <v>74</v>
      </c>
      <c r="H603" t="s">
        <v>74</v>
      </c>
      <c r="I603" t="s">
        <v>8966</v>
      </c>
      <c r="J603" t="s">
        <v>8914</v>
      </c>
      <c r="K603" t="s">
        <v>74</v>
      </c>
      <c r="L603" t="s">
        <v>74</v>
      </c>
      <c r="M603" t="s">
        <v>77</v>
      </c>
      <c r="N603" t="s">
        <v>78</v>
      </c>
      <c r="O603" t="s">
        <v>74</v>
      </c>
      <c r="P603" t="s">
        <v>74</v>
      </c>
      <c r="Q603" t="s">
        <v>74</v>
      </c>
      <c r="R603" t="s">
        <v>74</v>
      </c>
      <c r="S603" t="s">
        <v>74</v>
      </c>
      <c r="T603" t="s">
        <v>8967</v>
      </c>
      <c r="U603" t="s">
        <v>8968</v>
      </c>
      <c r="V603" t="s">
        <v>8969</v>
      </c>
      <c r="W603" t="s">
        <v>8970</v>
      </c>
      <c r="X603" t="s">
        <v>8971</v>
      </c>
      <c r="Y603" t="s">
        <v>8972</v>
      </c>
      <c r="Z603" t="s">
        <v>8973</v>
      </c>
      <c r="AA603" t="s">
        <v>74</v>
      </c>
      <c r="AB603" t="s">
        <v>74</v>
      </c>
      <c r="AC603" t="s">
        <v>74</v>
      </c>
      <c r="AD603" t="s">
        <v>74</v>
      </c>
      <c r="AE603" t="s">
        <v>74</v>
      </c>
      <c r="AF603" t="s">
        <v>74</v>
      </c>
      <c r="AG603">
        <v>24</v>
      </c>
      <c r="AH603">
        <v>2</v>
      </c>
      <c r="AI603">
        <v>7</v>
      </c>
      <c r="AJ603">
        <v>0</v>
      </c>
      <c r="AK603">
        <v>4</v>
      </c>
      <c r="AL603" t="s">
        <v>133</v>
      </c>
      <c r="AM603" t="s">
        <v>134</v>
      </c>
      <c r="AN603" t="s">
        <v>155</v>
      </c>
      <c r="AO603" t="s">
        <v>8923</v>
      </c>
      <c r="AP603" t="s">
        <v>8924</v>
      </c>
      <c r="AQ603" t="s">
        <v>74</v>
      </c>
      <c r="AR603" t="s">
        <v>8925</v>
      </c>
      <c r="AS603" t="s">
        <v>8926</v>
      </c>
      <c r="AT603" t="s">
        <v>74</v>
      </c>
      <c r="AU603">
        <v>2005</v>
      </c>
      <c r="AV603">
        <v>24</v>
      </c>
      <c r="AW603">
        <v>6</v>
      </c>
      <c r="AX603" t="s">
        <v>74</v>
      </c>
      <c r="AY603" t="s">
        <v>74</v>
      </c>
      <c r="AZ603" t="s">
        <v>74</v>
      </c>
      <c r="BA603" t="s">
        <v>74</v>
      </c>
      <c r="BB603">
        <v>153</v>
      </c>
      <c r="BC603">
        <v>161</v>
      </c>
      <c r="BD603" t="s">
        <v>74</v>
      </c>
      <c r="BE603" t="s">
        <v>74</v>
      </c>
      <c r="BF603" t="s">
        <v>74</v>
      </c>
      <c r="BG603" t="s">
        <v>74</v>
      </c>
      <c r="BH603" t="s">
        <v>74</v>
      </c>
      <c r="BI603">
        <v>9</v>
      </c>
      <c r="BJ603" t="s">
        <v>632</v>
      </c>
      <c r="BK603" t="s">
        <v>95</v>
      </c>
      <c r="BL603" t="s">
        <v>632</v>
      </c>
      <c r="BM603" t="s">
        <v>8938</v>
      </c>
      <c r="BN603" t="s">
        <v>74</v>
      </c>
      <c r="BO603" t="s">
        <v>74</v>
      </c>
      <c r="BP603" t="s">
        <v>74</v>
      </c>
      <c r="BQ603" t="s">
        <v>74</v>
      </c>
      <c r="BR603" t="s">
        <v>97</v>
      </c>
      <c r="BS603" t="s">
        <v>8974</v>
      </c>
      <c r="BT603" t="str">
        <f>HYPERLINK("https%3A%2F%2Fwww.webofscience.com%2Fwos%2Fwoscc%2Ffull-record%2FWOS:000234352600017","View Full Record in Web of Science")</f>
        <v>View Full Record in Web of Science</v>
      </c>
    </row>
    <row r="604" spans="1:72" x14ac:dyDescent="0.15">
      <c r="A604" t="s">
        <v>72</v>
      </c>
      <c r="B604" t="s">
        <v>8975</v>
      </c>
      <c r="C604" t="s">
        <v>74</v>
      </c>
      <c r="D604" t="s">
        <v>74</v>
      </c>
      <c r="E604" t="s">
        <v>74</v>
      </c>
      <c r="F604" t="s">
        <v>8975</v>
      </c>
      <c r="G604" t="s">
        <v>74</v>
      </c>
      <c r="H604" t="s">
        <v>74</v>
      </c>
      <c r="I604" t="s">
        <v>8976</v>
      </c>
      <c r="J604" t="s">
        <v>8914</v>
      </c>
      <c r="K604" t="s">
        <v>74</v>
      </c>
      <c r="L604" t="s">
        <v>74</v>
      </c>
      <c r="M604" t="s">
        <v>77</v>
      </c>
      <c r="N604" t="s">
        <v>78</v>
      </c>
      <c r="O604" t="s">
        <v>74</v>
      </c>
      <c r="P604" t="s">
        <v>74</v>
      </c>
      <c r="Q604" t="s">
        <v>74</v>
      </c>
      <c r="R604" t="s">
        <v>74</v>
      </c>
      <c r="S604" t="s">
        <v>74</v>
      </c>
      <c r="T604" t="s">
        <v>8977</v>
      </c>
      <c r="U604" t="s">
        <v>8978</v>
      </c>
      <c r="V604" t="s">
        <v>8979</v>
      </c>
      <c r="W604" t="s">
        <v>8980</v>
      </c>
      <c r="X604" t="s">
        <v>8981</v>
      </c>
      <c r="Y604" t="s">
        <v>8982</v>
      </c>
      <c r="Z604" t="s">
        <v>8983</v>
      </c>
      <c r="AA604" t="s">
        <v>5665</v>
      </c>
      <c r="AB604" t="s">
        <v>74</v>
      </c>
      <c r="AC604" t="s">
        <v>74</v>
      </c>
      <c r="AD604" t="s">
        <v>74</v>
      </c>
      <c r="AE604" t="s">
        <v>74</v>
      </c>
      <c r="AF604" t="s">
        <v>74</v>
      </c>
      <c r="AG604">
        <v>40</v>
      </c>
      <c r="AH604">
        <v>6</v>
      </c>
      <c r="AI604">
        <v>7</v>
      </c>
      <c r="AJ604">
        <v>0</v>
      </c>
      <c r="AK604">
        <v>11</v>
      </c>
      <c r="AL604" t="s">
        <v>133</v>
      </c>
      <c r="AM604" t="s">
        <v>134</v>
      </c>
      <c r="AN604" t="s">
        <v>181</v>
      </c>
      <c r="AO604" t="s">
        <v>8923</v>
      </c>
      <c r="AP604" t="s">
        <v>8924</v>
      </c>
      <c r="AQ604" t="s">
        <v>74</v>
      </c>
      <c r="AR604" t="s">
        <v>8925</v>
      </c>
      <c r="AS604" t="s">
        <v>8926</v>
      </c>
      <c r="AT604" t="s">
        <v>74</v>
      </c>
      <c r="AU604">
        <v>2005</v>
      </c>
      <c r="AV604">
        <v>24</v>
      </c>
      <c r="AW604">
        <v>6</v>
      </c>
      <c r="AX604" t="s">
        <v>74</v>
      </c>
      <c r="AY604" t="s">
        <v>74</v>
      </c>
      <c r="AZ604" t="s">
        <v>74</v>
      </c>
      <c r="BA604" t="s">
        <v>74</v>
      </c>
      <c r="BB604">
        <v>162</v>
      </c>
      <c r="BC604">
        <v>171</v>
      </c>
      <c r="BD604" t="s">
        <v>74</v>
      </c>
      <c r="BE604" t="s">
        <v>74</v>
      </c>
      <c r="BF604" t="s">
        <v>74</v>
      </c>
      <c r="BG604" t="s">
        <v>74</v>
      </c>
      <c r="BH604" t="s">
        <v>74</v>
      </c>
      <c r="BI604">
        <v>10</v>
      </c>
      <c r="BJ604" t="s">
        <v>632</v>
      </c>
      <c r="BK604" t="s">
        <v>95</v>
      </c>
      <c r="BL604" t="s">
        <v>632</v>
      </c>
      <c r="BM604" t="s">
        <v>8938</v>
      </c>
      <c r="BN604" t="s">
        <v>74</v>
      </c>
      <c r="BO604" t="s">
        <v>74</v>
      </c>
      <c r="BP604" t="s">
        <v>74</v>
      </c>
      <c r="BQ604" t="s">
        <v>74</v>
      </c>
      <c r="BR604" t="s">
        <v>97</v>
      </c>
      <c r="BS604" t="s">
        <v>8984</v>
      </c>
      <c r="BT604" t="str">
        <f>HYPERLINK("https%3A%2F%2Fwww.webofscience.com%2Fwos%2Fwoscc%2Ffull-record%2FWOS:000234352600018","View Full Record in Web of Science")</f>
        <v>View Full Record in Web of Science</v>
      </c>
    </row>
    <row r="605" spans="1:72" x14ac:dyDescent="0.15">
      <c r="A605" t="s">
        <v>1269</v>
      </c>
      <c r="B605" t="s">
        <v>8985</v>
      </c>
      <c r="C605" t="s">
        <v>74</v>
      </c>
      <c r="D605" t="s">
        <v>8986</v>
      </c>
      <c r="E605" t="s">
        <v>74</v>
      </c>
      <c r="F605" t="s">
        <v>8987</v>
      </c>
      <c r="G605" t="s">
        <v>74</v>
      </c>
      <c r="H605" t="s">
        <v>74</v>
      </c>
      <c r="I605" t="s">
        <v>8988</v>
      </c>
      <c r="J605" t="s">
        <v>8989</v>
      </c>
      <c r="K605" t="s">
        <v>8990</v>
      </c>
      <c r="L605" t="s">
        <v>74</v>
      </c>
      <c r="M605" t="s">
        <v>77</v>
      </c>
      <c r="N605" t="s">
        <v>8991</v>
      </c>
      <c r="O605" t="s">
        <v>74</v>
      </c>
      <c r="P605" t="s">
        <v>74</v>
      </c>
      <c r="Q605" t="s">
        <v>74</v>
      </c>
      <c r="R605" t="s">
        <v>74</v>
      </c>
      <c r="S605" t="s">
        <v>74</v>
      </c>
      <c r="T605" t="s">
        <v>74</v>
      </c>
      <c r="U605" t="s">
        <v>8992</v>
      </c>
      <c r="V605" t="s">
        <v>8993</v>
      </c>
      <c r="W605" t="s">
        <v>8994</v>
      </c>
      <c r="X605" t="s">
        <v>8995</v>
      </c>
      <c r="Y605" t="s">
        <v>8996</v>
      </c>
      <c r="Z605" t="s">
        <v>8997</v>
      </c>
      <c r="AA605" t="s">
        <v>74</v>
      </c>
      <c r="AB605" t="s">
        <v>74</v>
      </c>
      <c r="AC605" t="s">
        <v>74</v>
      </c>
      <c r="AD605" t="s">
        <v>74</v>
      </c>
      <c r="AE605" t="s">
        <v>74</v>
      </c>
      <c r="AF605" t="s">
        <v>74</v>
      </c>
      <c r="AG605">
        <v>5</v>
      </c>
      <c r="AH605">
        <v>0</v>
      </c>
      <c r="AI605">
        <v>0</v>
      </c>
      <c r="AJ605">
        <v>0</v>
      </c>
      <c r="AK605">
        <v>1</v>
      </c>
      <c r="AL605" t="s">
        <v>8998</v>
      </c>
      <c r="AM605" t="s">
        <v>8999</v>
      </c>
      <c r="AN605" t="s">
        <v>9000</v>
      </c>
      <c r="AO605" t="s">
        <v>9001</v>
      </c>
      <c r="AP605" t="s">
        <v>74</v>
      </c>
      <c r="AQ605" t="s">
        <v>9002</v>
      </c>
      <c r="AR605" t="s">
        <v>9003</v>
      </c>
      <c r="AS605" t="s">
        <v>74</v>
      </c>
      <c r="AT605" t="s">
        <v>74</v>
      </c>
      <c r="AU605">
        <v>2005</v>
      </c>
      <c r="AV605">
        <v>1</v>
      </c>
      <c r="AW605" t="s">
        <v>74</v>
      </c>
      <c r="AX605" t="s">
        <v>74</v>
      </c>
      <c r="AY605" t="s">
        <v>74</v>
      </c>
      <c r="AZ605" t="s">
        <v>74</v>
      </c>
      <c r="BA605" t="s">
        <v>74</v>
      </c>
      <c r="BB605">
        <v>227</v>
      </c>
      <c r="BC605">
        <v>244</v>
      </c>
      <c r="BD605" t="s">
        <v>74</v>
      </c>
      <c r="BE605" t="s">
        <v>74</v>
      </c>
      <c r="BF605" t="s">
        <v>74</v>
      </c>
      <c r="BG605" t="s">
        <v>74</v>
      </c>
      <c r="BH605" t="s">
        <v>74</v>
      </c>
      <c r="BI605">
        <v>18</v>
      </c>
      <c r="BJ605" t="s">
        <v>853</v>
      </c>
      <c r="BK605" t="s">
        <v>9004</v>
      </c>
      <c r="BL605" t="s">
        <v>853</v>
      </c>
      <c r="BM605" t="s">
        <v>9005</v>
      </c>
      <c r="BN605" t="s">
        <v>74</v>
      </c>
      <c r="BO605" t="s">
        <v>74</v>
      </c>
      <c r="BP605" t="s">
        <v>74</v>
      </c>
      <c r="BQ605" t="s">
        <v>74</v>
      </c>
      <c r="BR605" t="s">
        <v>97</v>
      </c>
      <c r="BS605" t="s">
        <v>9006</v>
      </c>
      <c r="BT605" t="str">
        <f>HYPERLINK("https%3A%2F%2Fwww.webofscience.com%2Fwos%2Fwoscc%2Ffull-record%2FWOS:000269526700012","View Full Record in Web of Science")</f>
        <v>View Full Record in Web of Science</v>
      </c>
    </row>
    <row r="606" spans="1:72" x14ac:dyDescent="0.15">
      <c r="A606" t="s">
        <v>1269</v>
      </c>
      <c r="B606" t="s">
        <v>9007</v>
      </c>
      <c r="C606" t="s">
        <v>74</v>
      </c>
      <c r="D606" t="s">
        <v>9008</v>
      </c>
      <c r="E606" t="s">
        <v>74</v>
      </c>
      <c r="F606" t="s">
        <v>9007</v>
      </c>
      <c r="G606" t="s">
        <v>74</v>
      </c>
      <c r="H606" t="s">
        <v>74</v>
      </c>
      <c r="I606" t="s">
        <v>9009</v>
      </c>
      <c r="J606" t="s">
        <v>9010</v>
      </c>
      <c r="K606" t="s">
        <v>9011</v>
      </c>
      <c r="L606" t="s">
        <v>74</v>
      </c>
      <c r="M606" t="s">
        <v>77</v>
      </c>
      <c r="N606" t="s">
        <v>9012</v>
      </c>
      <c r="O606" t="s">
        <v>74</v>
      </c>
      <c r="P606" t="s">
        <v>74</v>
      </c>
      <c r="Q606" t="s">
        <v>74</v>
      </c>
      <c r="R606" t="s">
        <v>74</v>
      </c>
      <c r="S606" t="s">
        <v>74</v>
      </c>
      <c r="T606" t="s">
        <v>74</v>
      </c>
      <c r="U606" t="s">
        <v>9013</v>
      </c>
      <c r="V606" t="s">
        <v>9014</v>
      </c>
      <c r="W606" t="s">
        <v>9015</v>
      </c>
      <c r="X606" t="s">
        <v>9016</v>
      </c>
      <c r="Y606" t="s">
        <v>2635</v>
      </c>
      <c r="Z606" t="s">
        <v>74</v>
      </c>
      <c r="AA606" t="s">
        <v>74</v>
      </c>
      <c r="AB606" t="s">
        <v>74</v>
      </c>
      <c r="AC606" t="s">
        <v>74</v>
      </c>
      <c r="AD606" t="s">
        <v>74</v>
      </c>
      <c r="AE606" t="s">
        <v>74</v>
      </c>
      <c r="AF606" t="s">
        <v>74</v>
      </c>
      <c r="AG606">
        <v>158</v>
      </c>
      <c r="AH606">
        <v>31</v>
      </c>
      <c r="AI606">
        <v>38</v>
      </c>
      <c r="AJ606">
        <v>0</v>
      </c>
      <c r="AK606">
        <v>20</v>
      </c>
      <c r="AL606" t="s">
        <v>9017</v>
      </c>
      <c r="AM606" t="s">
        <v>739</v>
      </c>
      <c r="AN606" t="s">
        <v>9018</v>
      </c>
      <c r="AO606" t="s">
        <v>9019</v>
      </c>
      <c r="AP606" t="s">
        <v>9020</v>
      </c>
      <c r="AQ606" t="s">
        <v>9021</v>
      </c>
      <c r="AR606" t="s">
        <v>9022</v>
      </c>
      <c r="AS606" t="s">
        <v>9023</v>
      </c>
      <c r="AT606" t="s">
        <v>74</v>
      </c>
      <c r="AU606">
        <v>2005</v>
      </c>
      <c r="AV606">
        <v>42</v>
      </c>
      <c r="AW606" t="s">
        <v>74</v>
      </c>
      <c r="AX606" t="s">
        <v>74</v>
      </c>
      <c r="AY606" t="s">
        <v>74</v>
      </c>
      <c r="AZ606" t="s">
        <v>74</v>
      </c>
      <c r="BA606" t="s">
        <v>74</v>
      </c>
      <c r="BB606">
        <v>33</v>
      </c>
      <c r="BC606">
        <v>67</v>
      </c>
      <c r="BD606" t="s">
        <v>74</v>
      </c>
      <c r="BE606" t="s">
        <v>9024</v>
      </c>
      <c r="BF606" t="str">
        <f>HYPERLINK("http://dx.doi.org/10.1016/S0065-2296(05)42002-9","http://dx.doi.org/10.1016/S0065-2296(05)42002-9")</f>
        <v>http://dx.doi.org/10.1016/S0065-2296(05)42002-9</v>
      </c>
      <c r="BG606" t="s">
        <v>74</v>
      </c>
      <c r="BH606" t="s">
        <v>74</v>
      </c>
      <c r="BI606">
        <v>35</v>
      </c>
      <c r="BJ606" t="s">
        <v>4781</v>
      </c>
      <c r="BK606" t="s">
        <v>9025</v>
      </c>
      <c r="BL606" t="s">
        <v>4781</v>
      </c>
      <c r="BM606" t="s">
        <v>9026</v>
      </c>
      <c r="BN606" t="s">
        <v>74</v>
      </c>
      <c r="BO606" t="s">
        <v>74</v>
      </c>
      <c r="BP606" t="s">
        <v>74</v>
      </c>
      <c r="BQ606" t="s">
        <v>74</v>
      </c>
      <c r="BR606" t="s">
        <v>97</v>
      </c>
      <c r="BS606" t="s">
        <v>9027</v>
      </c>
      <c r="BT606" t="str">
        <f>HYPERLINK("https%3A%2F%2Fwww.webofscience.com%2Fwos%2Fwoscc%2Ffull-record%2FWOS:000230616400002","View Full Record in Web of Science")</f>
        <v>View Full Record in Web of Science</v>
      </c>
    </row>
    <row r="607" spans="1:72" x14ac:dyDescent="0.15">
      <c r="A607" t="s">
        <v>8867</v>
      </c>
      <c r="B607" t="s">
        <v>9028</v>
      </c>
      <c r="C607" t="s">
        <v>74</v>
      </c>
      <c r="D607" t="s">
        <v>9029</v>
      </c>
      <c r="E607" t="s">
        <v>74</v>
      </c>
      <c r="F607" t="s">
        <v>9028</v>
      </c>
      <c r="G607" t="s">
        <v>74</v>
      </c>
      <c r="H607" t="s">
        <v>74</v>
      </c>
      <c r="I607" t="s">
        <v>9030</v>
      </c>
      <c r="J607" t="s">
        <v>9031</v>
      </c>
      <c r="K607" t="s">
        <v>9032</v>
      </c>
      <c r="L607" t="s">
        <v>74</v>
      </c>
      <c r="M607" t="s">
        <v>77</v>
      </c>
      <c r="N607" t="s">
        <v>8873</v>
      </c>
      <c r="O607" t="s">
        <v>9033</v>
      </c>
      <c r="P607">
        <v>2005</v>
      </c>
      <c r="Q607" t="s">
        <v>9034</v>
      </c>
      <c r="R607" t="s">
        <v>74</v>
      </c>
      <c r="S607" t="s">
        <v>74</v>
      </c>
      <c r="T607" t="s">
        <v>9035</v>
      </c>
      <c r="U607" t="s">
        <v>9036</v>
      </c>
      <c r="V607" t="s">
        <v>9037</v>
      </c>
      <c r="W607" t="s">
        <v>9038</v>
      </c>
      <c r="X607" t="s">
        <v>9039</v>
      </c>
      <c r="Y607" t="s">
        <v>9040</v>
      </c>
      <c r="Z607" t="s">
        <v>74</v>
      </c>
      <c r="AA607" t="s">
        <v>9041</v>
      </c>
      <c r="AB607" t="s">
        <v>74</v>
      </c>
      <c r="AC607" t="s">
        <v>74</v>
      </c>
      <c r="AD607" t="s">
        <v>74</v>
      </c>
      <c r="AE607" t="s">
        <v>74</v>
      </c>
      <c r="AF607" t="s">
        <v>74</v>
      </c>
      <c r="AG607">
        <v>21</v>
      </c>
      <c r="AH607">
        <v>1</v>
      </c>
      <c r="AI607">
        <v>1</v>
      </c>
      <c r="AJ607">
        <v>0</v>
      </c>
      <c r="AK607">
        <v>6</v>
      </c>
      <c r="AL607" t="s">
        <v>9042</v>
      </c>
      <c r="AM607" t="s">
        <v>9043</v>
      </c>
      <c r="AN607" t="s">
        <v>9044</v>
      </c>
      <c r="AO607" t="s">
        <v>9045</v>
      </c>
      <c r="AP607" t="s">
        <v>74</v>
      </c>
      <c r="AQ607" t="s">
        <v>9046</v>
      </c>
      <c r="AR607" t="s">
        <v>9047</v>
      </c>
      <c r="AS607" t="s">
        <v>74</v>
      </c>
      <c r="AT607" t="s">
        <v>74</v>
      </c>
      <c r="AU607">
        <v>2005</v>
      </c>
      <c r="AV607">
        <v>82</v>
      </c>
      <c r="AW607" t="s">
        <v>74</v>
      </c>
      <c r="AX607" t="s">
        <v>74</v>
      </c>
      <c r="AY607" t="s">
        <v>74</v>
      </c>
      <c r="AZ607" t="s">
        <v>74</v>
      </c>
      <c r="BA607" t="s">
        <v>74</v>
      </c>
      <c r="BB607">
        <v>107</v>
      </c>
      <c r="BC607">
        <v>116</v>
      </c>
      <c r="BD607" t="s">
        <v>74</v>
      </c>
      <c r="BE607" t="s">
        <v>74</v>
      </c>
      <c r="BF607" t="s">
        <v>74</v>
      </c>
      <c r="BG607" t="s">
        <v>74</v>
      </c>
      <c r="BH607" t="s">
        <v>74</v>
      </c>
      <c r="BI607">
        <v>10</v>
      </c>
      <c r="BJ607" t="s">
        <v>2362</v>
      </c>
      <c r="BK607" t="s">
        <v>8890</v>
      </c>
      <c r="BL607" t="s">
        <v>2363</v>
      </c>
      <c r="BM607" t="s">
        <v>9048</v>
      </c>
      <c r="BN607" t="s">
        <v>74</v>
      </c>
      <c r="BO607" t="s">
        <v>74</v>
      </c>
      <c r="BP607" t="s">
        <v>74</v>
      </c>
      <c r="BQ607" t="s">
        <v>74</v>
      </c>
      <c r="BR607" t="s">
        <v>97</v>
      </c>
      <c r="BS607" t="s">
        <v>9049</v>
      </c>
      <c r="BT607" t="str">
        <f>HYPERLINK("https%3A%2F%2Fwww.webofscience.com%2Fwos%2Fwoscc%2Ffull-record%2FWOS:000230300700012","View Full Record in Web of Science")</f>
        <v>View Full Record in Web of Science</v>
      </c>
    </row>
    <row r="608" spans="1:72" x14ac:dyDescent="0.15">
      <c r="A608" t="s">
        <v>72</v>
      </c>
      <c r="B608" t="s">
        <v>9050</v>
      </c>
      <c r="C608" t="s">
        <v>74</v>
      </c>
      <c r="D608" t="s">
        <v>74</v>
      </c>
      <c r="E608" t="s">
        <v>74</v>
      </c>
      <c r="F608" t="s">
        <v>9050</v>
      </c>
      <c r="G608" t="s">
        <v>74</v>
      </c>
      <c r="H608" t="s">
        <v>74</v>
      </c>
      <c r="I608" t="s">
        <v>9051</v>
      </c>
      <c r="J608" t="s">
        <v>9052</v>
      </c>
      <c r="K608" t="s">
        <v>74</v>
      </c>
      <c r="L608" t="s">
        <v>74</v>
      </c>
      <c r="M608" t="s">
        <v>77</v>
      </c>
      <c r="N608" t="s">
        <v>365</v>
      </c>
      <c r="O608" t="s">
        <v>74</v>
      </c>
      <c r="P608" t="s">
        <v>74</v>
      </c>
      <c r="Q608" t="s">
        <v>74</v>
      </c>
      <c r="R608" t="s">
        <v>74</v>
      </c>
      <c r="S608" t="s">
        <v>74</v>
      </c>
      <c r="T608" t="s">
        <v>9053</v>
      </c>
      <c r="U608" t="s">
        <v>9054</v>
      </c>
      <c r="V608" t="s">
        <v>9055</v>
      </c>
      <c r="W608" t="s">
        <v>9056</v>
      </c>
      <c r="X608" t="s">
        <v>9057</v>
      </c>
      <c r="Y608" t="s">
        <v>1111</v>
      </c>
      <c r="Z608" t="s">
        <v>9058</v>
      </c>
      <c r="AA608" t="s">
        <v>74</v>
      </c>
      <c r="AB608" t="s">
        <v>74</v>
      </c>
      <c r="AC608" t="s">
        <v>74</v>
      </c>
      <c r="AD608" t="s">
        <v>74</v>
      </c>
      <c r="AE608" t="s">
        <v>74</v>
      </c>
      <c r="AF608" t="s">
        <v>74</v>
      </c>
      <c r="AG608">
        <v>165</v>
      </c>
      <c r="AH608">
        <v>3</v>
      </c>
      <c r="AI608">
        <v>4</v>
      </c>
      <c r="AJ608">
        <v>1</v>
      </c>
      <c r="AK608">
        <v>16</v>
      </c>
      <c r="AL608" t="s">
        <v>394</v>
      </c>
      <c r="AM608" t="s">
        <v>395</v>
      </c>
      <c r="AN608" t="s">
        <v>396</v>
      </c>
      <c r="AO608" t="s">
        <v>9059</v>
      </c>
      <c r="AP608" t="s">
        <v>9060</v>
      </c>
      <c r="AQ608" t="s">
        <v>74</v>
      </c>
      <c r="AR608" t="s">
        <v>9052</v>
      </c>
      <c r="AS608" t="s">
        <v>9061</v>
      </c>
      <c r="AT608" t="s">
        <v>74</v>
      </c>
      <c r="AU608">
        <v>2005</v>
      </c>
      <c r="AV608">
        <v>29</v>
      </c>
      <c r="AW608">
        <v>1</v>
      </c>
      <c r="AX608" t="s">
        <v>74</v>
      </c>
      <c r="AY608" t="s">
        <v>74</v>
      </c>
      <c r="AZ608" t="s">
        <v>74</v>
      </c>
      <c r="BA608" t="s">
        <v>74</v>
      </c>
      <c r="BB608">
        <v>151</v>
      </c>
      <c r="BC608">
        <v>169</v>
      </c>
      <c r="BD608" t="s">
        <v>74</v>
      </c>
      <c r="BE608" t="s">
        <v>9062</v>
      </c>
      <c r="BF608" t="str">
        <f>HYPERLINK("http://dx.doi.org/10.1080/03115510508619565","http://dx.doi.org/10.1080/03115510508619565")</f>
        <v>http://dx.doi.org/10.1080/03115510508619565</v>
      </c>
      <c r="BG608" t="s">
        <v>74</v>
      </c>
      <c r="BH608" t="s">
        <v>74</v>
      </c>
      <c r="BI608">
        <v>19</v>
      </c>
      <c r="BJ608" t="s">
        <v>420</v>
      </c>
      <c r="BK608" t="s">
        <v>95</v>
      </c>
      <c r="BL608" t="s">
        <v>420</v>
      </c>
      <c r="BM608" t="s">
        <v>9063</v>
      </c>
      <c r="BN608" t="s">
        <v>74</v>
      </c>
      <c r="BO608" t="s">
        <v>74</v>
      </c>
      <c r="BP608" t="s">
        <v>74</v>
      </c>
      <c r="BQ608" t="s">
        <v>74</v>
      </c>
      <c r="BR608" t="s">
        <v>97</v>
      </c>
      <c r="BS608" t="s">
        <v>9064</v>
      </c>
      <c r="BT608" t="str">
        <f>HYPERLINK("https%3A%2F%2Fwww.webofscience.com%2Fwos%2Fwoscc%2Ffull-record%2FWOS:000230787700008","View Full Record in Web of Science")</f>
        <v>View Full Record in Web of Science</v>
      </c>
    </row>
    <row r="609" spans="1:72" x14ac:dyDescent="0.15">
      <c r="A609" t="s">
        <v>72</v>
      </c>
      <c r="B609" t="s">
        <v>8809</v>
      </c>
      <c r="C609" t="s">
        <v>74</v>
      </c>
      <c r="D609" t="s">
        <v>74</v>
      </c>
      <c r="E609" t="s">
        <v>74</v>
      </c>
      <c r="F609" t="s">
        <v>8809</v>
      </c>
      <c r="G609" t="s">
        <v>74</v>
      </c>
      <c r="H609" t="s">
        <v>74</v>
      </c>
      <c r="I609" t="s">
        <v>9065</v>
      </c>
      <c r="J609" t="s">
        <v>9052</v>
      </c>
      <c r="K609" t="s">
        <v>74</v>
      </c>
      <c r="L609" t="s">
        <v>74</v>
      </c>
      <c r="M609" t="s">
        <v>77</v>
      </c>
      <c r="N609" t="s">
        <v>78</v>
      </c>
      <c r="O609" t="s">
        <v>74</v>
      </c>
      <c r="P609" t="s">
        <v>74</v>
      </c>
      <c r="Q609" t="s">
        <v>74</v>
      </c>
      <c r="R609" t="s">
        <v>74</v>
      </c>
      <c r="S609" t="s">
        <v>74</v>
      </c>
      <c r="T609" t="s">
        <v>9066</v>
      </c>
      <c r="U609" t="s">
        <v>9067</v>
      </c>
      <c r="V609" t="s">
        <v>9068</v>
      </c>
      <c r="W609" t="s">
        <v>9069</v>
      </c>
      <c r="X609" t="s">
        <v>9070</v>
      </c>
      <c r="Y609" t="s">
        <v>8816</v>
      </c>
      <c r="Z609" t="s">
        <v>9071</v>
      </c>
      <c r="AA609" t="s">
        <v>793</v>
      </c>
      <c r="AB609" t="s">
        <v>794</v>
      </c>
      <c r="AC609" t="s">
        <v>74</v>
      </c>
      <c r="AD609" t="s">
        <v>74</v>
      </c>
      <c r="AE609" t="s">
        <v>74</v>
      </c>
      <c r="AF609" t="s">
        <v>74</v>
      </c>
      <c r="AG609">
        <v>41</v>
      </c>
      <c r="AH609">
        <v>15</v>
      </c>
      <c r="AI609">
        <v>19</v>
      </c>
      <c r="AJ609">
        <v>0</v>
      </c>
      <c r="AK609">
        <v>9</v>
      </c>
      <c r="AL609" t="s">
        <v>394</v>
      </c>
      <c r="AM609" t="s">
        <v>395</v>
      </c>
      <c r="AN609" t="s">
        <v>396</v>
      </c>
      <c r="AO609" t="s">
        <v>9059</v>
      </c>
      <c r="AP609" t="s">
        <v>9060</v>
      </c>
      <c r="AQ609" t="s">
        <v>74</v>
      </c>
      <c r="AR609" t="s">
        <v>9052</v>
      </c>
      <c r="AS609" t="s">
        <v>9061</v>
      </c>
      <c r="AT609" t="s">
        <v>74</v>
      </c>
      <c r="AU609">
        <v>2005</v>
      </c>
      <c r="AV609">
        <v>29</v>
      </c>
      <c r="AW609">
        <v>2</v>
      </c>
      <c r="AX609" t="s">
        <v>74</v>
      </c>
      <c r="AY609" t="s">
        <v>74</v>
      </c>
      <c r="AZ609" t="s">
        <v>74</v>
      </c>
      <c r="BA609" t="s">
        <v>74</v>
      </c>
      <c r="BB609">
        <v>341</v>
      </c>
      <c r="BC609">
        <v>350</v>
      </c>
      <c r="BD609" t="s">
        <v>74</v>
      </c>
      <c r="BE609" t="s">
        <v>9072</v>
      </c>
      <c r="BF609" t="str">
        <f>HYPERLINK("http://dx.doi.org/10.1080/03115510508619310","http://dx.doi.org/10.1080/03115510508619310")</f>
        <v>http://dx.doi.org/10.1080/03115510508619310</v>
      </c>
      <c r="BG609" t="s">
        <v>74</v>
      </c>
      <c r="BH609" t="s">
        <v>74</v>
      </c>
      <c r="BI609">
        <v>10</v>
      </c>
      <c r="BJ609" t="s">
        <v>420</v>
      </c>
      <c r="BK609" t="s">
        <v>95</v>
      </c>
      <c r="BL609" t="s">
        <v>420</v>
      </c>
      <c r="BM609" t="s">
        <v>9073</v>
      </c>
      <c r="BN609" t="s">
        <v>74</v>
      </c>
      <c r="BO609" t="s">
        <v>74</v>
      </c>
      <c r="BP609" t="s">
        <v>74</v>
      </c>
      <c r="BQ609" t="s">
        <v>74</v>
      </c>
      <c r="BR609" t="s">
        <v>97</v>
      </c>
      <c r="BS609" t="s">
        <v>9074</v>
      </c>
      <c r="BT609" t="str">
        <f>HYPERLINK("https%3A%2F%2Fwww.webofscience.com%2Fwos%2Fwoscc%2Ffull-record%2FWOS:000233030400011","View Full Record in Web of Science")</f>
        <v>View Full Record in Web of Science</v>
      </c>
    </row>
    <row r="610" spans="1:72" x14ac:dyDescent="0.15">
      <c r="A610" t="s">
        <v>72</v>
      </c>
      <c r="B610" t="s">
        <v>9075</v>
      </c>
      <c r="C610" t="s">
        <v>74</v>
      </c>
      <c r="D610" t="s">
        <v>74</v>
      </c>
      <c r="E610" t="s">
        <v>74</v>
      </c>
      <c r="F610" t="s">
        <v>9075</v>
      </c>
      <c r="G610" t="s">
        <v>74</v>
      </c>
      <c r="H610" t="s">
        <v>74</v>
      </c>
      <c r="I610" t="s">
        <v>9076</v>
      </c>
      <c r="J610" t="s">
        <v>9077</v>
      </c>
      <c r="K610" t="s">
        <v>74</v>
      </c>
      <c r="L610" t="s">
        <v>74</v>
      </c>
      <c r="M610" t="s">
        <v>77</v>
      </c>
      <c r="N610" t="s">
        <v>78</v>
      </c>
      <c r="O610" t="s">
        <v>74</v>
      </c>
      <c r="P610" t="s">
        <v>74</v>
      </c>
      <c r="Q610" t="s">
        <v>74</v>
      </c>
      <c r="R610" t="s">
        <v>74</v>
      </c>
      <c r="S610" t="s">
        <v>74</v>
      </c>
      <c r="T610" t="s">
        <v>74</v>
      </c>
      <c r="U610" t="s">
        <v>9078</v>
      </c>
      <c r="V610" t="s">
        <v>9079</v>
      </c>
      <c r="W610" t="s">
        <v>9080</v>
      </c>
      <c r="X610" t="s">
        <v>9081</v>
      </c>
      <c r="Y610" t="s">
        <v>9082</v>
      </c>
      <c r="Z610" t="s">
        <v>9083</v>
      </c>
      <c r="AA610" t="s">
        <v>4615</v>
      </c>
      <c r="AB610" t="s">
        <v>4616</v>
      </c>
      <c r="AC610" t="s">
        <v>74</v>
      </c>
      <c r="AD610" t="s">
        <v>74</v>
      </c>
      <c r="AE610" t="s">
        <v>74</v>
      </c>
      <c r="AF610" t="s">
        <v>74</v>
      </c>
      <c r="AG610">
        <v>21</v>
      </c>
      <c r="AH610">
        <v>48</v>
      </c>
      <c r="AI610">
        <v>55</v>
      </c>
      <c r="AJ610">
        <v>1</v>
      </c>
      <c r="AK610">
        <v>10</v>
      </c>
      <c r="AL610" t="s">
        <v>8303</v>
      </c>
      <c r="AM610" t="s">
        <v>1813</v>
      </c>
      <c r="AN610" t="s">
        <v>8304</v>
      </c>
      <c r="AO610" t="s">
        <v>9084</v>
      </c>
      <c r="AP610" t="s">
        <v>74</v>
      </c>
      <c r="AQ610" t="s">
        <v>74</v>
      </c>
      <c r="AR610" t="s">
        <v>9077</v>
      </c>
      <c r="AS610" t="s">
        <v>9085</v>
      </c>
      <c r="AT610" t="s">
        <v>74</v>
      </c>
      <c r="AU610">
        <v>2005</v>
      </c>
      <c r="AV610">
        <v>130</v>
      </c>
      <c r="AW610">
        <v>2</v>
      </c>
      <c r="AX610" t="s">
        <v>74</v>
      </c>
      <c r="AY610" t="s">
        <v>74</v>
      </c>
      <c r="AZ610" t="s">
        <v>74</v>
      </c>
      <c r="BA610" t="s">
        <v>74</v>
      </c>
      <c r="BB610">
        <v>156</v>
      </c>
      <c r="BC610">
        <v>162</v>
      </c>
      <c r="BD610" t="s">
        <v>74</v>
      </c>
      <c r="BE610" t="s">
        <v>9086</v>
      </c>
      <c r="BF610" t="str">
        <f>HYPERLINK("http://dx.doi.org/10.1039/b410854j","http://dx.doi.org/10.1039/b410854j")</f>
        <v>http://dx.doi.org/10.1039/b410854j</v>
      </c>
      <c r="BG610" t="s">
        <v>74</v>
      </c>
      <c r="BH610" t="s">
        <v>74</v>
      </c>
      <c r="BI610">
        <v>7</v>
      </c>
      <c r="BJ610" t="s">
        <v>8683</v>
      </c>
      <c r="BK610" t="s">
        <v>95</v>
      </c>
      <c r="BL610" t="s">
        <v>4061</v>
      </c>
      <c r="BM610" t="s">
        <v>9087</v>
      </c>
      <c r="BN610">
        <v>15665968</v>
      </c>
      <c r="BO610" t="s">
        <v>74</v>
      </c>
      <c r="BP610" t="s">
        <v>74</v>
      </c>
      <c r="BQ610" t="s">
        <v>74</v>
      </c>
      <c r="BR610" t="s">
        <v>97</v>
      </c>
      <c r="BS610" t="s">
        <v>9088</v>
      </c>
      <c r="BT610" t="str">
        <f>HYPERLINK("https%3A%2F%2Fwww.webofscience.com%2Fwos%2Fwoscc%2Ffull-record%2FWOS:000226485900007","View Full Record in Web of Science")</f>
        <v>View Full Record in Web of Science</v>
      </c>
    </row>
    <row r="611" spans="1:72" x14ac:dyDescent="0.15">
      <c r="A611" t="s">
        <v>72</v>
      </c>
      <c r="B611" t="s">
        <v>9089</v>
      </c>
      <c r="C611" t="s">
        <v>74</v>
      </c>
      <c r="D611" t="s">
        <v>74</v>
      </c>
      <c r="E611" t="s">
        <v>74</v>
      </c>
      <c r="F611" t="s">
        <v>9089</v>
      </c>
      <c r="G611" t="s">
        <v>74</v>
      </c>
      <c r="H611" t="s">
        <v>74</v>
      </c>
      <c r="I611" t="s">
        <v>9090</v>
      </c>
      <c r="J611" t="s">
        <v>9091</v>
      </c>
      <c r="K611" t="s">
        <v>74</v>
      </c>
      <c r="L611" t="s">
        <v>74</v>
      </c>
      <c r="M611" t="s">
        <v>77</v>
      </c>
      <c r="N611" t="s">
        <v>495</v>
      </c>
      <c r="O611" t="s">
        <v>9092</v>
      </c>
      <c r="P611" t="s">
        <v>9093</v>
      </c>
      <c r="Q611" t="s">
        <v>9094</v>
      </c>
      <c r="R611" t="s">
        <v>74</v>
      </c>
      <c r="S611" t="s">
        <v>9095</v>
      </c>
      <c r="T611" t="s">
        <v>9096</v>
      </c>
      <c r="U611" t="s">
        <v>9097</v>
      </c>
      <c r="V611" t="s">
        <v>9098</v>
      </c>
      <c r="W611" t="s">
        <v>9099</v>
      </c>
      <c r="X611" t="s">
        <v>9100</v>
      </c>
      <c r="Y611" t="s">
        <v>9101</v>
      </c>
      <c r="Z611" t="s">
        <v>9102</v>
      </c>
      <c r="AA611" t="s">
        <v>9103</v>
      </c>
      <c r="AB611" t="s">
        <v>9104</v>
      </c>
      <c r="AC611" t="s">
        <v>74</v>
      </c>
      <c r="AD611" t="s">
        <v>74</v>
      </c>
      <c r="AE611" t="s">
        <v>74</v>
      </c>
      <c r="AF611" t="s">
        <v>74</v>
      </c>
      <c r="AG611">
        <v>67</v>
      </c>
      <c r="AH611">
        <v>10</v>
      </c>
      <c r="AI611">
        <v>12</v>
      </c>
      <c r="AJ611">
        <v>0</v>
      </c>
      <c r="AK611">
        <v>1</v>
      </c>
      <c r="AL611" t="s">
        <v>2353</v>
      </c>
      <c r="AM611" t="s">
        <v>2354</v>
      </c>
      <c r="AN611" t="s">
        <v>2355</v>
      </c>
      <c r="AO611" t="s">
        <v>9105</v>
      </c>
      <c r="AP611" t="s">
        <v>9106</v>
      </c>
      <c r="AQ611" t="s">
        <v>74</v>
      </c>
      <c r="AR611" t="s">
        <v>9107</v>
      </c>
      <c r="AS611" t="s">
        <v>9108</v>
      </c>
      <c r="AT611" t="s">
        <v>74</v>
      </c>
      <c r="AU611">
        <v>2005</v>
      </c>
      <c r="AV611">
        <v>23</v>
      </c>
      <c r="AW611">
        <v>1</v>
      </c>
      <c r="AX611" t="s">
        <v>74</v>
      </c>
      <c r="AY611" t="s">
        <v>74</v>
      </c>
      <c r="AZ611" t="s">
        <v>74</v>
      </c>
      <c r="BA611" t="s">
        <v>74</v>
      </c>
      <c r="BB611">
        <v>87</v>
      </c>
      <c r="BC611">
        <v>100</v>
      </c>
      <c r="BD611" t="s">
        <v>74</v>
      </c>
      <c r="BE611" t="s">
        <v>9109</v>
      </c>
      <c r="BF611" t="str">
        <f>HYPERLINK("http://dx.doi.org/10.5194/angeo-23-87-2005","http://dx.doi.org/10.5194/angeo-23-87-2005")</f>
        <v>http://dx.doi.org/10.5194/angeo-23-87-2005</v>
      </c>
      <c r="BG611" t="s">
        <v>74</v>
      </c>
      <c r="BH611" t="s">
        <v>74</v>
      </c>
      <c r="BI611">
        <v>14</v>
      </c>
      <c r="BJ611" t="s">
        <v>9110</v>
      </c>
      <c r="BK611" t="s">
        <v>514</v>
      </c>
      <c r="BL611" t="s">
        <v>9111</v>
      </c>
      <c r="BM611" t="s">
        <v>9112</v>
      </c>
      <c r="BN611" t="s">
        <v>74</v>
      </c>
      <c r="BO611" t="s">
        <v>9113</v>
      </c>
      <c r="BP611" t="s">
        <v>74</v>
      </c>
      <c r="BQ611" t="s">
        <v>74</v>
      </c>
      <c r="BR611" t="s">
        <v>97</v>
      </c>
      <c r="BS611" t="s">
        <v>9114</v>
      </c>
      <c r="BT611" t="str">
        <f>HYPERLINK("https%3A%2F%2Fwww.webofscience.com%2Fwos%2Fwoscc%2Ffull-record%2FWOS:000227806900009","View Full Record in Web of Science")</f>
        <v>View Full Record in Web of Science</v>
      </c>
    </row>
    <row r="612" spans="1:72" x14ac:dyDescent="0.15">
      <c r="A612" t="s">
        <v>72</v>
      </c>
      <c r="B612" t="s">
        <v>9115</v>
      </c>
      <c r="C612" t="s">
        <v>74</v>
      </c>
      <c r="D612" t="s">
        <v>74</v>
      </c>
      <c r="E612" t="s">
        <v>74</v>
      </c>
      <c r="F612" t="s">
        <v>9115</v>
      </c>
      <c r="G612" t="s">
        <v>74</v>
      </c>
      <c r="H612" t="s">
        <v>74</v>
      </c>
      <c r="I612" t="s">
        <v>9116</v>
      </c>
      <c r="J612" t="s">
        <v>9091</v>
      </c>
      <c r="K612" t="s">
        <v>74</v>
      </c>
      <c r="L612" t="s">
        <v>74</v>
      </c>
      <c r="M612" t="s">
        <v>77</v>
      </c>
      <c r="N612" t="s">
        <v>484</v>
      </c>
      <c r="O612" t="s">
        <v>74</v>
      </c>
      <c r="P612" t="s">
        <v>74</v>
      </c>
      <c r="Q612" t="s">
        <v>74</v>
      </c>
      <c r="R612" t="s">
        <v>74</v>
      </c>
      <c r="S612" t="s">
        <v>74</v>
      </c>
      <c r="T612" t="s">
        <v>74</v>
      </c>
      <c r="U612" t="s">
        <v>74</v>
      </c>
      <c r="V612" t="s">
        <v>74</v>
      </c>
      <c r="W612" t="s">
        <v>9117</v>
      </c>
      <c r="X612" t="s">
        <v>9118</v>
      </c>
      <c r="Y612" t="s">
        <v>9119</v>
      </c>
      <c r="Z612" t="s">
        <v>74</v>
      </c>
      <c r="AA612" t="s">
        <v>9120</v>
      </c>
      <c r="AB612" t="s">
        <v>9121</v>
      </c>
      <c r="AC612" t="s">
        <v>74</v>
      </c>
      <c r="AD612" t="s">
        <v>74</v>
      </c>
      <c r="AE612" t="s">
        <v>74</v>
      </c>
      <c r="AF612" t="s">
        <v>74</v>
      </c>
      <c r="AG612">
        <v>1</v>
      </c>
      <c r="AH612">
        <v>0</v>
      </c>
      <c r="AI612">
        <v>0</v>
      </c>
      <c r="AJ612">
        <v>0</v>
      </c>
      <c r="AK612">
        <v>0</v>
      </c>
      <c r="AL612" t="s">
        <v>9122</v>
      </c>
      <c r="AM612" t="s">
        <v>9123</v>
      </c>
      <c r="AN612" t="s">
        <v>9124</v>
      </c>
      <c r="AO612" t="s">
        <v>9105</v>
      </c>
      <c r="AP612" t="s">
        <v>74</v>
      </c>
      <c r="AQ612" t="s">
        <v>74</v>
      </c>
      <c r="AR612" t="s">
        <v>9107</v>
      </c>
      <c r="AS612" t="s">
        <v>9108</v>
      </c>
      <c r="AT612" t="s">
        <v>74</v>
      </c>
      <c r="AU612">
        <v>2005</v>
      </c>
      <c r="AV612">
        <v>23</v>
      </c>
      <c r="AW612">
        <v>2</v>
      </c>
      <c r="AX612" t="s">
        <v>74</v>
      </c>
      <c r="AY612" t="s">
        <v>74</v>
      </c>
      <c r="AZ612" t="s">
        <v>74</v>
      </c>
      <c r="BA612" t="s">
        <v>74</v>
      </c>
      <c r="BB612">
        <v>651</v>
      </c>
      <c r="BC612">
        <v>651</v>
      </c>
      <c r="BD612" t="s">
        <v>74</v>
      </c>
      <c r="BE612" t="s">
        <v>9125</v>
      </c>
      <c r="BF612" t="str">
        <f>HYPERLINK("http://dx.doi.org/10.5194/angeo-23-651-2005","http://dx.doi.org/10.5194/angeo-23-651-2005")</f>
        <v>http://dx.doi.org/10.5194/angeo-23-651-2005</v>
      </c>
      <c r="BG612" t="s">
        <v>74</v>
      </c>
      <c r="BH612" t="s">
        <v>74</v>
      </c>
      <c r="BI612">
        <v>1</v>
      </c>
      <c r="BJ612" t="s">
        <v>9110</v>
      </c>
      <c r="BK612" t="s">
        <v>95</v>
      </c>
      <c r="BL612" t="s">
        <v>9111</v>
      </c>
      <c r="BM612" t="s">
        <v>9126</v>
      </c>
      <c r="BN612" t="s">
        <v>74</v>
      </c>
      <c r="BO612" t="s">
        <v>9127</v>
      </c>
      <c r="BP612" t="s">
        <v>74</v>
      </c>
      <c r="BQ612" t="s">
        <v>74</v>
      </c>
      <c r="BR612" t="s">
        <v>97</v>
      </c>
      <c r="BS612" t="s">
        <v>9128</v>
      </c>
      <c r="BT612" t="str">
        <f>HYPERLINK("https%3A%2F%2Fwww.webofscience.com%2Fwos%2Fwoscc%2Ffull-record%2FWOS:000228586600033","View Full Record in Web of Science")</f>
        <v>View Full Record in Web of Science</v>
      </c>
    </row>
    <row r="613" spans="1:72" x14ac:dyDescent="0.15">
      <c r="A613" t="s">
        <v>72</v>
      </c>
      <c r="B613" t="s">
        <v>9129</v>
      </c>
      <c r="C613" t="s">
        <v>74</v>
      </c>
      <c r="D613" t="s">
        <v>74</v>
      </c>
      <c r="E613" t="s">
        <v>74</v>
      </c>
      <c r="F613" t="s">
        <v>9129</v>
      </c>
      <c r="G613" t="s">
        <v>74</v>
      </c>
      <c r="H613" t="s">
        <v>74</v>
      </c>
      <c r="I613" t="s">
        <v>9130</v>
      </c>
      <c r="J613" t="s">
        <v>9091</v>
      </c>
      <c r="K613" t="s">
        <v>74</v>
      </c>
      <c r="L613" t="s">
        <v>74</v>
      </c>
      <c r="M613" t="s">
        <v>77</v>
      </c>
      <c r="N613" t="s">
        <v>78</v>
      </c>
      <c r="O613" t="s">
        <v>74</v>
      </c>
      <c r="P613" t="s">
        <v>74</v>
      </c>
      <c r="Q613" t="s">
        <v>74</v>
      </c>
      <c r="R613" t="s">
        <v>74</v>
      </c>
      <c r="S613" t="s">
        <v>74</v>
      </c>
      <c r="T613" t="s">
        <v>9131</v>
      </c>
      <c r="U613" t="s">
        <v>9132</v>
      </c>
      <c r="V613" t="s">
        <v>9133</v>
      </c>
      <c r="W613" t="s">
        <v>9134</v>
      </c>
      <c r="X613" t="s">
        <v>9135</v>
      </c>
      <c r="Y613" t="s">
        <v>9136</v>
      </c>
      <c r="Z613" t="s">
        <v>9137</v>
      </c>
      <c r="AA613" t="s">
        <v>9138</v>
      </c>
      <c r="AB613" t="s">
        <v>9139</v>
      </c>
      <c r="AC613" t="s">
        <v>9140</v>
      </c>
      <c r="AD613" t="s">
        <v>9141</v>
      </c>
      <c r="AE613" t="s">
        <v>74</v>
      </c>
      <c r="AF613" t="s">
        <v>74</v>
      </c>
      <c r="AG613">
        <v>53</v>
      </c>
      <c r="AH613">
        <v>40</v>
      </c>
      <c r="AI613">
        <v>41</v>
      </c>
      <c r="AJ613">
        <v>0</v>
      </c>
      <c r="AK613">
        <v>1</v>
      </c>
      <c r="AL613" t="s">
        <v>2353</v>
      </c>
      <c r="AM613" t="s">
        <v>2354</v>
      </c>
      <c r="AN613" t="s">
        <v>2355</v>
      </c>
      <c r="AO613" t="s">
        <v>9105</v>
      </c>
      <c r="AP613" t="s">
        <v>9106</v>
      </c>
      <c r="AQ613" t="s">
        <v>74</v>
      </c>
      <c r="AR613" t="s">
        <v>9107</v>
      </c>
      <c r="AS613" t="s">
        <v>9108</v>
      </c>
      <c r="AT613" t="s">
        <v>74</v>
      </c>
      <c r="AU613">
        <v>2005</v>
      </c>
      <c r="AV613">
        <v>23</v>
      </c>
      <c r="AW613">
        <v>3</v>
      </c>
      <c r="AX613" t="s">
        <v>74</v>
      </c>
      <c r="AY613" t="s">
        <v>74</v>
      </c>
      <c r="AZ613" t="s">
        <v>74</v>
      </c>
      <c r="BA613" t="s">
        <v>74</v>
      </c>
      <c r="BB613">
        <v>733</v>
      </c>
      <c r="BC613">
        <v>743</v>
      </c>
      <c r="BD613" t="s">
        <v>74</v>
      </c>
      <c r="BE613" t="s">
        <v>9142</v>
      </c>
      <c r="BF613" t="str">
        <f>HYPERLINK("http://dx.doi.org/10.5194/angeo-23-733-2005","http://dx.doi.org/10.5194/angeo-23-733-2005")</f>
        <v>http://dx.doi.org/10.5194/angeo-23-733-2005</v>
      </c>
      <c r="BG613" t="s">
        <v>74</v>
      </c>
      <c r="BH613" t="s">
        <v>74</v>
      </c>
      <c r="BI613">
        <v>11</v>
      </c>
      <c r="BJ613" t="s">
        <v>9110</v>
      </c>
      <c r="BK613" t="s">
        <v>95</v>
      </c>
      <c r="BL613" t="s">
        <v>9111</v>
      </c>
      <c r="BM613" t="s">
        <v>9143</v>
      </c>
      <c r="BN613" t="s">
        <v>74</v>
      </c>
      <c r="BO613" t="s">
        <v>5623</v>
      </c>
      <c r="BP613" t="s">
        <v>74</v>
      </c>
      <c r="BQ613" t="s">
        <v>74</v>
      </c>
      <c r="BR613" t="s">
        <v>97</v>
      </c>
      <c r="BS613" t="s">
        <v>9144</v>
      </c>
      <c r="BT613" t="str">
        <f>HYPERLINK("https%3A%2F%2Fwww.webofscience.com%2Fwos%2Fwoscc%2Ffull-record%2FWOS:000229073000009","View Full Record in Web of Science")</f>
        <v>View Full Record in Web of Science</v>
      </c>
    </row>
    <row r="614" spans="1:72" x14ac:dyDescent="0.15">
      <c r="A614" t="s">
        <v>72</v>
      </c>
      <c r="B614" t="s">
        <v>9145</v>
      </c>
      <c r="C614" t="s">
        <v>74</v>
      </c>
      <c r="D614" t="s">
        <v>74</v>
      </c>
      <c r="E614" t="s">
        <v>74</v>
      </c>
      <c r="F614" t="s">
        <v>9145</v>
      </c>
      <c r="G614" t="s">
        <v>74</v>
      </c>
      <c r="H614" t="s">
        <v>74</v>
      </c>
      <c r="I614" t="s">
        <v>9146</v>
      </c>
      <c r="J614" t="s">
        <v>9091</v>
      </c>
      <c r="K614" t="s">
        <v>74</v>
      </c>
      <c r="L614" t="s">
        <v>74</v>
      </c>
      <c r="M614" t="s">
        <v>77</v>
      </c>
      <c r="N614" t="s">
        <v>78</v>
      </c>
      <c r="O614" t="s">
        <v>74</v>
      </c>
      <c r="P614" t="s">
        <v>74</v>
      </c>
      <c r="Q614" t="s">
        <v>74</v>
      </c>
      <c r="R614" t="s">
        <v>74</v>
      </c>
      <c r="S614" t="s">
        <v>74</v>
      </c>
      <c r="T614" t="s">
        <v>9147</v>
      </c>
      <c r="U614" t="s">
        <v>9148</v>
      </c>
      <c r="V614" t="s">
        <v>9149</v>
      </c>
      <c r="W614" t="s">
        <v>4109</v>
      </c>
      <c r="X614" t="s">
        <v>671</v>
      </c>
      <c r="Y614" t="s">
        <v>9150</v>
      </c>
      <c r="Z614" t="s">
        <v>7227</v>
      </c>
      <c r="AA614" t="s">
        <v>74</v>
      </c>
      <c r="AB614" t="s">
        <v>74</v>
      </c>
      <c r="AC614" t="s">
        <v>74</v>
      </c>
      <c r="AD614" t="s">
        <v>74</v>
      </c>
      <c r="AE614" t="s">
        <v>74</v>
      </c>
      <c r="AF614" t="s">
        <v>74</v>
      </c>
      <c r="AG614">
        <v>29</v>
      </c>
      <c r="AH614">
        <v>28</v>
      </c>
      <c r="AI614">
        <v>30</v>
      </c>
      <c r="AJ614">
        <v>0</v>
      </c>
      <c r="AK614">
        <v>5</v>
      </c>
      <c r="AL614" t="s">
        <v>9122</v>
      </c>
      <c r="AM614" t="s">
        <v>9123</v>
      </c>
      <c r="AN614" t="s">
        <v>9124</v>
      </c>
      <c r="AO614" t="s">
        <v>9105</v>
      </c>
      <c r="AP614" t="s">
        <v>74</v>
      </c>
      <c r="AQ614" t="s">
        <v>74</v>
      </c>
      <c r="AR614" t="s">
        <v>9107</v>
      </c>
      <c r="AS614" t="s">
        <v>9108</v>
      </c>
      <c r="AT614" t="s">
        <v>74</v>
      </c>
      <c r="AU614">
        <v>2005</v>
      </c>
      <c r="AV614">
        <v>23</v>
      </c>
      <c r="AW614">
        <v>3</v>
      </c>
      <c r="AX614" t="s">
        <v>74</v>
      </c>
      <c r="AY614" t="s">
        <v>74</v>
      </c>
      <c r="AZ614" t="s">
        <v>74</v>
      </c>
      <c r="BA614" t="s">
        <v>74</v>
      </c>
      <c r="BB614">
        <v>885</v>
      </c>
      <c r="BC614">
        <v>900</v>
      </c>
      <c r="BD614" t="s">
        <v>74</v>
      </c>
      <c r="BE614" t="s">
        <v>9151</v>
      </c>
      <c r="BF614" t="str">
        <f>HYPERLINK("http://dx.doi.org/10.5194/angeo-23-885-2005","http://dx.doi.org/10.5194/angeo-23-885-2005")</f>
        <v>http://dx.doi.org/10.5194/angeo-23-885-2005</v>
      </c>
      <c r="BG614" t="s">
        <v>74</v>
      </c>
      <c r="BH614" t="s">
        <v>74</v>
      </c>
      <c r="BI614">
        <v>16</v>
      </c>
      <c r="BJ614" t="s">
        <v>9110</v>
      </c>
      <c r="BK614" t="s">
        <v>95</v>
      </c>
      <c r="BL614" t="s">
        <v>9111</v>
      </c>
      <c r="BM614" t="s">
        <v>9143</v>
      </c>
      <c r="BN614" t="s">
        <v>74</v>
      </c>
      <c r="BO614" t="s">
        <v>5623</v>
      </c>
      <c r="BP614" t="s">
        <v>74</v>
      </c>
      <c r="BQ614" t="s">
        <v>74</v>
      </c>
      <c r="BR614" t="s">
        <v>97</v>
      </c>
      <c r="BS614" t="s">
        <v>9152</v>
      </c>
      <c r="BT614" t="str">
        <f>HYPERLINK("https%3A%2F%2Fwww.webofscience.com%2Fwos%2Fwoscc%2Ffull-record%2FWOS:000229073000023","View Full Record in Web of Science")</f>
        <v>View Full Record in Web of Science</v>
      </c>
    </row>
    <row r="615" spans="1:72" x14ac:dyDescent="0.15">
      <c r="A615" t="s">
        <v>72</v>
      </c>
      <c r="B615" t="s">
        <v>9153</v>
      </c>
      <c r="C615" t="s">
        <v>74</v>
      </c>
      <c r="D615" t="s">
        <v>74</v>
      </c>
      <c r="E615" t="s">
        <v>74</v>
      </c>
      <c r="F615" t="s">
        <v>9153</v>
      </c>
      <c r="G615" t="s">
        <v>74</v>
      </c>
      <c r="H615" t="s">
        <v>74</v>
      </c>
      <c r="I615" t="s">
        <v>9154</v>
      </c>
      <c r="J615" t="s">
        <v>9091</v>
      </c>
      <c r="K615" t="s">
        <v>74</v>
      </c>
      <c r="L615" t="s">
        <v>74</v>
      </c>
      <c r="M615" t="s">
        <v>77</v>
      </c>
      <c r="N615" t="s">
        <v>78</v>
      </c>
      <c r="O615" t="s">
        <v>74</v>
      </c>
      <c r="P615" t="s">
        <v>74</v>
      </c>
      <c r="Q615" t="s">
        <v>74</v>
      </c>
      <c r="R615" t="s">
        <v>74</v>
      </c>
      <c r="S615" t="s">
        <v>74</v>
      </c>
      <c r="T615" t="s">
        <v>9155</v>
      </c>
      <c r="U615" t="s">
        <v>9156</v>
      </c>
      <c r="V615" t="s">
        <v>9157</v>
      </c>
      <c r="W615" t="s">
        <v>9158</v>
      </c>
      <c r="X615" t="s">
        <v>9159</v>
      </c>
      <c r="Y615" t="s">
        <v>9160</v>
      </c>
      <c r="Z615" t="s">
        <v>9161</v>
      </c>
      <c r="AA615" t="s">
        <v>9162</v>
      </c>
      <c r="AB615" t="s">
        <v>9163</v>
      </c>
      <c r="AC615" t="s">
        <v>74</v>
      </c>
      <c r="AD615" t="s">
        <v>74</v>
      </c>
      <c r="AE615" t="s">
        <v>74</v>
      </c>
      <c r="AF615" t="s">
        <v>74</v>
      </c>
      <c r="AG615">
        <v>64</v>
      </c>
      <c r="AH615">
        <v>24</v>
      </c>
      <c r="AI615">
        <v>24</v>
      </c>
      <c r="AJ615">
        <v>0</v>
      </c>
      <c r="AK615">
        <v>3</v>
      </c>
      <c r="AL615" t="s">
        <v>9122</v>
      </c>
      <c r="AM615" t="s">
        <v>9123</v>
      </c>
      <c r="AN615" t="s">
        <v>9124</v>
      </c>
      <c r="AO615" t="s">
        <v>9105</v>
      </c>
      <c r="AP615" t="s">
        <v>74</v>
      </c>
      <c r="AQ615" t="s">
        <v>74</v>
      </c>
      <c r="AR615" t="s">
        <v>9107</v>
      </c>
      <c r="AS615" t="s">
        <v>9108</v>
      </c>
      <c r="AT615" t="s">
        <v>74</v>
      </c>
      <c r="AU615">
        <v>2005</v>
      </c>
      <c r="AV615">
        <v>23</v>
      </c>
      <c r="AW615">
        <v>4</v>
      </c>
      <c r="AX615" t="s">
        <v>74</v>
      </c>
      <c r="AY615" t="s">
        <v>74</v>
      </c>
      <c r="AZ615" t="s">
        <v>74</v>
      </c>
      <c r="BA615" t="s">
        <v>74</v>
      </c>
      <c r="BB615">
        <v>1371</v>
      </c>
      <c r="BC615">
        <v>1390</v>
      </c>
      <c r="BD615" t="s">
        <v>74</v>
      </c>
      <c r="BE615" t="s">
        <v>9164</v>
      </c>
      <c r="BF615" t="str">
        <f>HYPERLINK("http://dx.doi.org/10.5194/angeo-23-1371-2005","http://dx.doi.org/10.5194/angeo-23-1371-2005")</f>
        <v>http://dx.doi.org/10.5194/angeo-23-1371-2005</v>
      </c>
      <c r="BG615" t="s">
        <v>74</v>
      </c>
      <c r="BH615" t="s">
        <v>74</v>
      </c>
      <c r="BI615">
        <v>20</v>
      </c>
      <c r="BJ615" t="s">
        <v>9110</v>
      </c>
      <c r="BK615" t="s">
        <v>95</v>
      </c>
      <c r="BL615" t="s">
        <v>9111</v>
      </c>
      <c r="BM615" t="s">
        <v>9165</v>
      </c>
      <c r="BN615" t="s">
        <v>74</v>
      </c>
      <c r="BO615" t="s">
        <v>9113</v>
      </c>
      <c r="BP615" t="s">
        <v>74</v>
      </c>
      <c r="BQ615" t="s">
        <v>74</v>
      </c>
      <c r="BR615" t="s">
        <v>97</v>
      </c>
      <c r="BS615" t="s">
        <v>9166</v>
      </c>
      <c r="BT615" t="str">
        <f>HYPERLINK("https%3A%2F%2Fwww.webofscience.com%2Fwos%2Fwoscc%2Ffull-record%2FWOS:000231705500027","View Full Record in Web of Science")</f>
        <v>View Full Record in Web of Science</v>
      </c>
    </row>
    <row r="616" spans="1:72" x14ac:dyDescent="0.15">
      <c r="A616" t="s">
        <v>72</v>
      </c>
      <c r="B616" t="s">
        <v>9167</v>
      </c>
      <c r="C616" t="s">
        <v>74</v>
      </c>
      <c r="D616" t="s">
        <v>74</v>
      </c>
      <c r="E616" t="s">
        <v>74</v>
      </c>
      <c r="F616" t="s">
        <v>9167</v>
      </c>
      <c r="G616" t="s">
        <v>74</v>
      </c>
      <c r="H616" t="s">
        <v>74</v>
      </c>
      <c r="I616" t="s">
        <v>9168</v>
      </c>
      <c r="J616" t="s">
        <v>9091</v>
      </c>
      <c r="K616" t="s">
        <v>74</v>
      </c>
      <c r="L616" t="s">
        <v>74</v>
      </c>
      <c r="M616" t="s">
        <v>77</v>
      </c>
      <c r="N616" t="s">
        <v>78</v>
      </c>
      <c r="O616" t="s">
        <v>74</v>
      </c>
      <c r="P616" t="s">
        <v>74</v>
      </c>
      <c r="Q616" t="s">
        <v>74</v>
      </c>
      <c r="R616" t="s">
        <v>74</v>
      </c>
      <c r="S616" t="s">
        <v>74</v>
      </c>
      <c r="T616" t="s">
        <v>9169</v>
      </c>
      <c r="U616" t="s">
        <v>9170</v>
      </c>
      <c r="V616" t="s">
        <v>9171</v>
      </c>
      <c r="W616" t="s">
        <v>9172</v>
      </c>
      <c r="X616" t="s">
        <v>9173</v>
      </c>
      <c r="Y616" t="s">
        <v>9174</v>
      </c>
      <c r="Z616" t="s">
        <v>9175</v>
      </c>
      <c r="AA616" t="s">
        <v>74</v>
      </c>
      <c r="AB616" t="s">
        <v>9176</v>
      </c>
      <c r="AC616" t="s">
        <v>74</v>
      </c>
      <c r="AD616" t="s">
        <v>74</v>
      </c>
      <c r="AE616" t="s">
        <v>74</v>
      </c>
      <c r="AF616" t="s">
        <v>74</v>
      </c>
      <c r="AG616">
        <v>17</v>
      </c>
      <c r="AH616">
        <v>12</v>
      </c>
      <c r="AI616">
        <v>12</v>
      </c>
      <c r="AJ616">
        <v>0</v>
      </c>
      <c r="AK616">
        <v>3</v>
      </c>
      <c r="AL616" t="s">
        <v>2353</v>
      </c>
      <c r="AM616" t="s">
        <v>2354</v>
      </c>
      <c r="AN616" t="s">
        <v>2355</v>
      </c>
      <c r="AO616" t="s">
        <v>9105</v>
      </c>
      <c r="AP616" t="s">
        <v>9106</v>
      </c>
      <c r="AQ616" t="s">
        <v>74</v>
      </c>
      <c r="AR616" t="s">
        <v>9107</v>
      </c>
      <c r="AS616" t="s">
        <v>9108</v>
      </c>
      <c r="AT616" t="s">
        <v>74</v>
      </c>
      <c r="AU616">
        <v>2005</v>
      </c>
      <c r="AV616">
        <v>23</v>
      </c>
      <c r="AW616">
        <v>5</v>
      </c>
      <c r="AX616" t="s">
        <v>74</v>
      </c>
      <c r="AY616" t="s">
        <v>74</v>
      </c>
      <c r="AZ616" t="s">
        <v>74</v>
      </c>
      <c r="BA616" t="s">
        <v>74</v>
      </c>
      <c r="BB616">
        <v>1697</v>
      </c>
      <c r="BC616">
        <v>1709</v>
      </c>
      <c r="BD616" t="s">
        <v>74</v>
      </c>
      <c r="BE616" t="s">
        <v>9177</v>
      </c>
      <c r="BF616" t="str">
        <f>HYPERLINK("http://dx.doi.org/10.5194/angeo-23-1697-2005","http://dx.doi.org/10.5194/angeo-23-1697-2005")</f>
        <v>http://dx.doi.org/10.5194/angeo-23-1697-2005</v>
      </c>
      <c r="BG616" t="s">
        <v>74</v>
      </c>
      <c r="BH616" t="s">
        <v>74</v>
      </c>
      <c r="BI616">
        <v>13</v>
      </c>
      <c r="BJ616" t="s">
        <v>9110</v>
      </c>
      <c r="BK616" t="s">
        <v>95</v>
      </c>
      <c r="BL616" t="s">
        <v>9111</v>
      </c>
      <c r="BM616" t="s">
        <v>9178</v>
      </c>
      <c r="BN616" t="s">
        <v>74</v>
      </c>
      <c r="BO616" t="s">
        <v>5623</v>
      </c>
      <c r="BP616" t="s">
        <v>74</v>
      </c>
      <c r="BQ616" t="s">
        <v>74</v>
      </c>
      <c r="BR616" t="s">
        <v>97</v>
      </c>
      <c r="BS616" t="s">
        <v>9179</v>
      </c>
      <c r="BT616" t="str">
        <f>HYPERLINK("https%3A%2F%2Fwww.webofscience.com%2Fwos%2Fwoscc%2Ffull-record%2FWOS:000231706400018","View Full Record in Web of Science")</f>
        <v>View Full Record in Web of Science</v>
      </c>
    </row>
    <row r="617" spans="1:72" x14ac:dyDescent="0.15">
      <c r="A617" t="s">
        <v>72</v>
      </c>
      <c r="B617" t="s">
        <v>9180</v>
      </c>
      <c r="C617" t="s">
        <v>74</v>
      </c>
      <c r="D617" t="s">
        <v>74</v>
      </c>
      <c r="E617" t="s">
        <v>74</v>
      </c>
      <c r="F617" t="s">
        <v>9180</v>
      </c>
      <c r="G617" t="s">
        <v>74</v>
      </c>
      <c r="H617" t="s">
        <v>74</v>
      </c>
      <c r="I617" t="s">
        <v>9181</v>
      </c>
      <c r="J617" t="s">
        <v>9091</v>
      </c>
      <c r="K617" t="s">
        <v>74</v>
      </c>
      <c r="L617" t="s">
        <v>74</v>
      </c>
      <c r="M617" t="s">
        <v>77</v>
      </c>
      <c r="N617" t="s">
        <v>78</v>
      </c>
      <c r="O617" t="s">
        <v>74</v>
      </c>
      <c r="P617" t="s">
        <v>74</v>
      </c>
      <c r="Q617" t="s">
        <v>74</v>
      </c>
      <c r="R617" t="s">
        <v>74</v>
      </c>
      <c r="S617" t="s">
        <v>74</v>
      </c>
      <c r="T617" t="s">
        <v>9182</v>
      </c>
      <c r="U617" t="s">
        <v>9183</v>
      </c>
      <c r="V617" t="s">
        <v>9184</v>
      </c>
      <c r="W617" t="s">
        <v>9185</v>
      </c>
      <c r="X617" t="s">
        <v>9186</v>
      </c>
      <c r="Y617" t="s">
        <v>9187</v>
      </c>
      <c r="Z617" t="s">
        <v>9137</v>
      </c>
      <c r="AA617" t="s">
        <v>9138</v>
      </c>
      <c r="AB617" t="s">
        <v>9188</v>
      </c>
      <c r="AC617" t="s">
        <v>9140</v>
      </c>
      <c r="AD617" t="s">
        <v>9141</v>
      </c>
      <c r="AE617" t="s">
        <v>74</v>
      </c>
      <c r="AF617" t="s">
        <v>74</v>
      </c>
      <c r="AG617">
        <v>19</v>
      </c>
      <c r="AH617">
        <v>11</v>
      </c>
      <c r="AI617">
        <v>12</v>
      </c>
      <c r="AJ617">
        <v>0</v>
      </c>
      <c r="AK617">
        <v>1</v>
      </c>
      <c r="AL617" t="s">
        <v>9122</v>
      </c>
      <c r="AM617" t="s">
        <v>9123</v>
      </c>
      <c r="AN617" t="s">
        <v>9124</v>
      </c>
      <c r="AO617" t="s">
        <v>9105</v>
      </c>
      <c r="AP617" t="s">
        <v>74</v>
      </c>
      <c r="AQ617" t="s">
        <v>74</v>
      </c>
      <c r="AR617" t="s">
        <v>9107</v>
      </c>
      <c r="AS617" t="s">
        <v>9108</v>
      </c>
      <c r="AT617" t="s">
        <v>74</v>
      </c>
      <c r="AU617">
        <v>2005</v>
      </c>
      <c r="AV617">
        <v>23</v>
      </c>
      <c r="AW617">
        <v>7</v>
      </c>
      <c r="AX617" t="s">
        <v>74</v>
      </c>
      <c r="AY617" t="s">
        <v>74</v>
      </c>
      <c r="AZ617" t="s">
        <v>74</v>
      </c>
      <c r="BA617" t="s">
        <v>74</v>
      </c>
      <c r="BB617">
        <v>2599</v>
      </c>
      <c r="BC617">
        <v>2604</v>
      </c>
      <c r="BD617" t="s">
        <v>74</v>
      </c>
      <c r="BE617" t="s">
        <v>9189</v>
      </c>
      <c r="BF617" t="str">
        <f>HYPERLINK("http://dx.doi.org/10.5194/angeo-23-2599-2005","http://dx.doi.org/10.5194/angeo-23-2599-2005")</f>
        <v>http://dx.doi.org/10.5194/angeo-23-2599-2005</v>
      </c>
      <c r="BG617" t="s">
        <v>74</v>
      </c>
      <c r="BH617" t="s">
        <v>74</v>
      </c>
      <c r="BI617">
        <v>6</v>
      </c>
      <c r="BJ617" t="s">
        <v>9110</v>
      </c>
      <c r="BK617" t="s">
        <v>95</v>
      </c>
      <c r="BL617" t="s">
        <v>9111</v>
      </c>
      <c r="BM617" t="s">
        <v>9190</v>
      </c>
      <c r="BN617" t="s">
        <v>74</v>
      </c>
      <c r="BO617" t="s">
        <v>9191</v>
      </c>
      <c r="BP617" t="s">
        <v>74</v>
      </c>
      <c r="BQ617" t="s">
        <v>74</v>
      </c>
      <c r="BR617" t="s">
        <v>97</v>
      </c>
      <c r="BS617" t="s">
        <v>9192</v>
      </c>
      <c r="BT617" t="str">
        <f>HYPERLINK("https%3A%2F%2Fwww.webofscience.com%2Fwos%2Fwoscc%2Ffull-record%2FWOS:000233568900030","View Full Record in Web of Science")</f>
        <v>View Full Record in Web of Science</v>
      </c>
    </row>
    <row r="618" spans="1:72" x14ac:dyDescent="0.15">
      <c r="A618" t="s">
        <v>72</v>
      </c>
      <c r="B618" t="s">
        <v>9193</v>
      </c>
      <c r="C618" t="s">
        <v>74</v>
      </c>
      <c r="D618" t="s">
        <v>74</v>
      </c>
      <c r="E618" t="s">
        <v>74</v>
      </c>
      <c r="F618" t="s">
        <v>9193</v>
      </c>
      <c r="G618" t="s">
        <v>74</v>
      </c>
      <c r="H618" t="s">
        <v>74</v>
      </c>
      <c r="I618" t="s">
        <v>9194</v>
      </c>
      <c r="J618" t="s">
        <v>9091</v>
      </c>
      <c r="K618" t="s">
        <v>74</v>
      </c>
      <c r="L618" t="s">
        <v>74</v>
      </c>
      <c r="M618" t="s">
        <v>77</v>
      </c>
      <c r="N618" t="s">
        <v>78</v>
      </c>
      <c r="O618" t="s">
        <v>74</v>
      </c>
      <c r="P618" t="s">
        <v>74</v>
      </c>
      <c r="Q618" t="s">
        <v>74</v>
      </c>
      <c r="R618" t="s">
        <v>74</v>
      </c>
      <c r="S618" t="s">
        <v>74</v>
      </c>
      <c r="T618" t="s">
        <v>9195</v>
      </c>
      <c r="U618" t="s">
        <v>9196</v>
      </c>
      <c r="V618" t="s">
        <v>9197</v>
      </c>
      <c r="W618" t="s">
        <v>9198</v>
      </c>
      <c r="X618" t="s">
        <v>9199</v>
      </c>
      <c r="Y618" t="s">
        <v>9200</v>
      </c>
      <c r="Z618" t="s">
        <v>9201</v>
      </c>
      <c r="AA618" t="s">
        <v>9202</v>
      </c>
      <c r="AB618" t="s">
        <v>9203</v>
      </c>
      <c r="AC618" t="s">
        <v>74</v>
      </c>
      <c r="AD618" t="s">
        <v>74</v>
      </c>
      <c r="AE618" t="s">
        <v>74</v>
      </c>
      <c r="AF618" t="s">
        <v>74</v>
      </c>
      <c r="AG618">
        <v>51</v>
      </c>
      <c r="AH618">
        <v>12</v>
      </c>
      <c r="AI618">
        <v>16</v>
      </c>
      <c r="AJ618">
        <v>0</v>
      </c>
      <c r="AK618">
        <v>1</v>
      </c>
      <c r="AL618" t="s">
        <v>2353</v>
      </c>
      <c r="AM618" t="s">
        <v>2354</v>
      </c>
      <c r="AN618" t="s">
        <v>2355</v>
      </c>
      <c r="AO618" t="s">
        <v>9105</v>
      </c>
      <c r="AP618" t="s">
        <v>9106</v>
      </c>
      <c r="AQ618" t="s">
        <v>74</v>
      </c>
      <c r="AR618" t="s">
        <v>9107</v>
      </c>
      <c r="AS618" t="s">
        <v>9108</v>
      </c>
      <c r="AT618" t="s">
        <v>74</v>
      </c>
      <c r="AU618">
        <v>2005</v>
      </c>
      <c r="AV618">
        <v>23</v>
      </c>
      <c r="AW618">
        <v>11</v>
      </c>
      <c r="AX618" t="s">
        <v>74</v>
      </c>
      <c r="AY618" t="s">
        <v>74</v>
      </c>
      <c r="AZ618" t="s">
        <v>74</v>
      </c>
      <c r="BA618" t="s">
        <v>74</v>
      </c>
      <c r="BB618">
        <v>3419</v>
      </c>
      <c r="BC618">
        <v>3430</v>
      </c>
      <c r="BD618" t="s">
        <v>74</v>
      </c>
      <c r="BE618" t="s">
        <v>9204</v>
      </c>
      <c r="BF618" t="str">
        <f>HYPERLINK("http://dx.doi.org/10.5194/angeo-23-3419-2005","http://dx.doi.org/10.5194/angeo-23-3419-2005")</f>
        <v>http://dx.doi.org/10.5194/angeo-23-3419-2005</v>
      </c>
      <c r="BG618" t="s">
        <v>74</v>
      </c>
      <c r="BH618" t="s">
        <v>74</v>
      </c>
      <c r="BI618">
        <v>12</v>
      </c>
      <c r="BJ618" t="s">
        <v>9110</v>
      </c>
      <c r="BK618" t="s">
        <v>95</v>
      </c>
      <c r="BL618" t="s">
        <v>9111</v>
      </c>
      <c r="BM618" t="s">
        <v>9205</v>
      </c>
      <c r="BN618" t="s">
        <v>74</v>
      </c>
      <c r="BO618" t="s">
        <v>9206</v>
      </c>
      <c r="BP618" t="s">
        <v>74</v>
      </c>
      <c r="BQ618" t="s">
        <v>74</v>
      </c>
      <c r="BR618" t="s">
        <v>97</v>
      </c>
      <c r="BS618" t="s">
        <v>9207</v>
      </c>
      <c r="BT618" t="str">
        <f>HYPERLINK("https%3A%2F%2Fwww.webofscience.com%2Fwos%2Fwoscc%2Ffull-record%2FWOS:000234751800003","View Full Record in Web of Science")</f>
        <v>View Full Record in Web of Science</v>
      </c>
    </row>
    <row r="619" spans="1:72" x14ac:dyDescent="0.15">
      <c r="A619" t="s">
        <v>72</v>
      </c>
      <c r="B619" t="s">
        <v>9208</v>
      </c>
      <c r="C619" t="s">
        <v>74</v>
      </c>
      <c r="D619" t="s">
        <v>74</v>
      </c>
      <c r="E619" t="s">
        <v>74</v>
      </c>
      <c r="F619" t="s">
        <v>9208</v>
      </c>
      <c r="G619" t="s">
        <v>74</v>
      </c>
      <c r="H619" t="s">
        <v>74</v>
      </c>
      <c r="I619" t="s">
        <v>9209</v>
      </c>
      <c r="J619" t="s">
        <v>9091</v>
      </c>
      <c r="K619" t="s">
        <v>74</v>
      </c>
      <c r="L619" t="s">
        <v>74</v>
      </c>
      <c r="M619" t="s">
        <v>77</v>
      </c>
      <c r="N619" t="s">
        <v>78</v>
      </c>
      <c r="O619" t="s">
        <v>74</v>
      </c>
      <c r="P619" t="s">
        <v>74</v>
      </c>
      <c r="Q619" t="s">
        <v>74</v>
      </c>
      <c r="R619" t="s">
        <v>74</v>
      </c>
      <c r="S619" t="s">
        <v>74</v>
      </c>
      <c r="T619" t="s">
        <v>9210</v>
      </c>
      <c r="U619" t="s">
        <v>9211</v>
      </c>
      <c r="V619" t="s">
        <v>9212</v>
      </c>
      <c r="W619" t="s">
        <v>9213</v>
      </c>
      <c r="X619" t="s">
        <v>9214</v>
      </c>
      <c r="Y619" t="s">
        <v>230</v>
      </c>
      <c r="Z619" t="s">
        <v>9137</v>
      </c>
      <c r="AA619" t="s">
        <v>9215</v>
      </c>
      <c r="AB619" t="s">
        <v>9216</v>
      </c>
      <c r="AC619" t="s">
        <v>9217</v>
      </c>
      <c r="AD619" t="s">
        <v>9218</v>
      </c>
      <c r="AE619" t="s">
        <v>74</v>
      </c>
      <c r="AF619" t="s">
        <v>74</v>
      </c>
      <c r="AG619">
        <v>28</v>
      </c>
      <c r="AH619">
        <v>17</v>
      </c>
      <c r="AI619">
        <v>18</v>
      </c>
      <c r="AJ619">
        <v>0</v>
      </c>
      <c r="AK619">
        <v>2</v>
      </c>
      <c r="AL619" t="s">
        <v>2353</v>
      </c>
      <c r="AM619" t="s">
        <v>2354</v>
      </c>
      <c r="AN619" t="s">
        <v>2355</v>
      </c>
      <c r="AO619" t="s">
        <v>9105</v>
      </c>
      <c r="AP619" t="s">
        <v>9106</v>
      </c>
      <c r="AQ619" t="s">
        <v>74</v>
      </c>
      <c r="AR619" t="s">
        <v>9107</v>
      </c>
      <c r="AS619" t="s">
        <v>9108</v>
      </c>
      <c r="AT619" t="s">
        <v>74</v>
      </c>
      <c r="AU619">
        <v>2005</v>
      </c>
      <c r="AV619">
        <v>23</v>
      </c>
      <c r="AW619">
        <v>12</v>
      </c>
      <c r="AX619" t="s">
        <v>74</v>
      </c>
      <c r="AY619" t="s">
        <v>74</v>
      </c>
      <c r="AZ619" t="s">
        <v>74</v>
      </c>
      <c r="BA619" t="s">
        <v>74</v>
      </c>
      <c r="BB619">
        <v>3645</v>
      </c>
      <c r="BC619">
        <v>3654</v>
      </c>
      <c r="BD619" t="s">
        <v>74</v>
      </c>
      <c r="BE619" t="s">
        <v>9219</v>
      </c>
      <c r="BF619" t="str">
        <f>HYPERLINK("http://dx.doi.org/10.5194/angeo-23-3645-2005","http://dx.doi.org/10.5194/angeo-23-3645-2005")</f>
        <v>http://dx.doi.org/10.5194/angeo-23-3645-2005</v>
      </c>
      <c r="BG619" t="s">
        <v>74</v>
      </c>
      <c r="BH619" t="s">
        <v>74</v>
      </c>
      <c r="BI619">
        <v>10</v>
      </c>
      <c r="BJ619" t="s">
        <v>9110</v>
      </c>
      <c r="BK619" t="s">
        <v>95</v>
      </c>
      <c r="BL619" t="s">
        <v>9111</v>
      </c>
      <c r="BM619" t="s">
        <v>9220</v>
      </c>
      <c r="BN619" t="s">
        <v>74</v>
      </c>
      <c r="BO619" t="s">
        <v>5623</v>
      </c>
      <c r="BP619" t="s">
        <v>74</v>
      </c>
      <c r="BQ619" t="s">
        <v>74</v>
      </c>
      <c r="BR619" t="s">
        <v>97</v>
      </c>
      <c r="BS619" t="s">
        <v>9221</v>
      </c>
      <c r="BT619" t="str">
        <f>HYPERLINK("https%3A%2F%2Fwww.webofscience.com%2Fwos%2Fwoscc%2Ffull-record%2FWOS:000235008400008","View Full Record in Web of Science")</f>
        <v>View Full Record in Web of Science</v>
      </c>
    </row>
    <row r="620" spans="1:72" x14ac:dyDescent="0.15">
      <c r="A620" t="s">
        <v>1269</v>
      </c>
      <c r="B620" t="s">
        <v>9222</v>
      </c>
      <c r="C620" t="s">
        <v>74</v>
      </c>
      <c r="D620" t="s">
        <v>9223</v>
      </c>
      <c r="E620" t="s">
        <v>74</v>
      </c>
      <c r="F620" t="s">
        <v>9222</v>
      </c>
      <c r="G620" t="s">
        <v>74</v>
      </c>
      <c r="H620" t="s">
        <v>74</v>
      </c>
      <c r="I620" t="s">
        <v>9224</v>
      </c>
      <c r="J620" t="s">
        <v>9225</v>
      </c>
      <c r="K620" t="s">
        <v>9226</v>
      </c>
      <c r="L620" t="s">
        <v>74</v>
      </c>
      <c r="M620" t="s">
        <v>77</v>
      </c>
      <c r="N620" t="s">
        <v>495</v>
      </c>
      <c r="O620" t="s">
        <v>9227</v>
      </c>
      <c r="P620" t="s">
        <v>9228</v>
      </c>
      <c r="Q620" t="s">
        <v>9229</v>
      </c>
      <c r="R620" t="s">
        <v>74</v>
      </c>
      <c r="S620" t="s">
        <v>9230</v>
      </c>
      <c r="T620" t="s">
        <v>74</v>
      </c>
      <c r="U620" t="s">
        <v>9231</v>
      </c>
      <c r="V620" t="s">
        <v>9232</v>
      </c>
      <c r="W620" t="s">
        <v>9233</v>
      </c>
      <c r="X620" t="s">
        <v>9234</v>
      </c>
      <c r="Y620" t="s">
        <v>9235</v>
      </c>
      <c r="Z620" t="s">
        <v>74</v>
      </c>
      <c r="AA620" t="s">
        <v>74</v>
      </c>
      <c r="AB620" t="s">
        <v>74</v>
      </c>
      <c r="AC620" t="s">
        <v>74</v>
      </c>
      <c r="AD620" t="s">
        <v>74</v>
      </c>
      <c r="AE620" t="s">
        <v>74</v>
      </c>
      <c r="AF620" t="s">
        <v>74</v>
      </c>
      <c r="AG620">
        <v>30</v>
      </c>
      <c r="AH620">
        <v>15</v>
      </c>
      <c r="AI620">
        <v>16</v>
      </c>
      <c r="AJ620">
        <v>0</v>
      </c>
      <c r="AK620">
        <v>7</v>
      </c>
      <c r="AL620" t="s">
        <v>9236</v>
      </c>
      <c r="AM620" t="s">
        <v>1813</v>
      </c>
      <c r="AN620" t="s">
        <v>9237</v>
      </c>
      <c r="AO620" t="s">
        <v>9238</v>
      </c>
      <c r="AP620" t="s">
        <v>74</v>
      </c>
      <c r="AQ620" t="s">
        <v>9239</v>
      </c>
      <c r="AR620" t="s">
        <v>9240</v>
      </c>
      <c r="AS620" t="s">
        <v>74</v>
      </c>
      <c r="AT620" t="s">
        <v>74</v>
      </c>
      <c r="AU620">
        <v>2005</v>
      </c>
      <c r="AV620">
        <v>40</v>
      </c>
      <c r="AW620" t="s">
        <v>74</v>
      </c>
      <c r="AX620" t="s">
        <v>74</v>
      </c>
      <c r="AY620" t="s">
        <v>74</v>
      </c>
      <c r="AZ620" t="s">
        <v>74</v>
      </c>
      <c r="BA620" t="s">
        <v>74</v>
      </c>
      <c r="BB620">
        <v>20</v>
      </c>
      <c r="BC620">
        <v>24</v>
      </c>
      <c r="BD620" t="s">
        <v>74</v>
      </c>
      <c r="BE620" t="s">
        <v>9241</v>
      </c>
      <c r="BF620" t="str">
        <f>HYPERLINK("http://dx.doi.org/10.3189/172756405781813528","http://dx.doi.org/10.3189/172756405781813528")</f>
        <v>http://dx.doi.org/10.3189/172756405781813528</v>
      </c>
      <c r="BG620" t="s">
        <v>74</v>
      </c>
      <c r="BH620" t="s">
        <v>74</v>
      </c>
      <c r="BI620">
        <v>5</v>
      </c>
      <c r="BJ620" t="s">
        <v>537</v>
      </c>
      <c r="BK620" t="s">
        <v>989</v>
      </c>
      <c r="BL620" t="s">
        <v>307</v>
      </c>
      <c r="BM620" t="s">
        <v>9242</v>
      </c>
      <c r="BN620" t="s">
        <v>74</v>
      </c>
      <c r="BO620" t="s">
        <v>539</v>
      </c>
      <c r="BP620" t="s">
        <v>74</v>
      </c>
      <c r="BQ620" t="s">
        <v>74</v>
      </c>
      <c r="BR620" t="s">
        <v>97</v>
      </c>
      <c r="BS620" t="s">
        <v>9243</v>
      </c>
      <c r="BT620" t="str">
        <f>HYPERLINK("https%3A%2F%2Fwww.webofscience.com%2Fwos%2Fwoscc%2Ffull-record%2FWOS:000235930300004","View Full Record in Web of Science")</f>
        <v>View Full Record in Web of Science</v>
      </c>
    </row>
    <row r="621" spans="1:72" x14ac:dyDescent="0.15">
      <c r="A621" t="s">
        <v>1269</v>
      </c>
      <c r="B621" t="s">
        <v>9244</v>
      </c>
      <c r="C621" t="s">
        <v>74</v>
      </c>
      <c r="D621" t="s">
        <v>9223</v>
      </c>
      <c r="E621" t="s">
        <v>74</v>
      </c>
      <c r="F621" t="s">
        <v>9244</v>
      </c>
      <c r="G621" t="s">
        <v>74</v>
      </c>
      <c r="H621" t="s">
        <v>74</v>
      </c>
      <c r="I621" t="s">
        <v>9245</v>
      </c>
      <c r="J621" t="s">
        <v>9225</v>
      </c>
      <c r="K621" t="s">
        <v>9246</v>
      </c>
      <c r="L621" t="s">
        <v>74</v>
      </c>
      <c r="M621" t="s">
        <v>77</v>
      </c>
      <c r="N621" t="s">
        <v>495</v>
      </c>
      <c r="O621" t="s">
        <v>9227</v>
      </c>
      <c r="P621" t="s">
        <v>9228</v>
      </c>
      <c r="Q621" t="s">
        <v>9229</v>
      </c>
      <c r="R621" t="s">
        <v>74</v>
      </c>
      <c r="S621" t="s">
        <v>9230</v>
      </c>
      <c r="T621" t="s">
        <v>74</v>
      </c>
      <c r="U621" t="s">
        <v>9247</v>
      </c>
      <c r="V621" t="s">
        <v>9248</v>
      </c>
      <c r="W621" t="s">
        <v>9249</v>
      </c>
      <c r="X621" t="s">
        <v>9250</v>
      </c>
      <c r="Y621" t="s">
        <v>9251</v>
      </c>
      <c r="Z621" t="s">
        <v>9252</v>
      </c>
      <c r="AA621" t="s">
        <v>9253</v>
      </c>
      <c r="AB621" t="s">
        <v>9254</v>
      </c>
      <c r="AC621" t="s">
        <v>74</v>
      </c>
      <c r="AD621" t="s">
        <v>74</v>
      </c>
      <c r="AE621" t="s">
        <v>74</v>
      </c>
      <c r="AF621" t="s">
        <v>74</v>
      </c>
      <c r="AG621">
        <v>38</v>
      </c>
      <c r="AH621">
        <v>35</v>
      </c>
      <c r="AI621">
        <v>40</v>
      </c>
      <c r="AJ621">
        <v>0</v>
      </c>
      <c r="AK621">
        <v>11</v>
      </c>
      <c r="AL621" t="s">
        <v>9236</v>
      </c>
      <c r="AM621" t="s">
        <v>1813</v>
      </c>
      <c r="AN621" t="s">
        <v>9237</v>
      </c>
      <c r="AO621" t="s">
        <v>9238</v>
      </c>
      <c r="AP621" t="s">
        <v>74</v>
      </c>
      <c r="AQ621" t="s">
        <v>9239</v>
      </c>
      <c r="AR621" t="s">
        <v>9255</v>
      </c>
      <c r="AS621" t="s">
        <v>74</v>
      </c>
      <c r="AT621" t="s">
        <v>74</v>
      </c>
      <c r="AU621">
        <v>2005</v>
      </c>
      <c r="AV621">
        <v>40</v>
      </c>
      <c r="AW621" t="s">
        <v>74</v>
      </c>
      <c r="AX621" t="s">
        <v>74</v>
      </c>
      <c r="AY621" t="s">
        <v>74</v>
      </c>
      <c r="AZ621" t="s">
        <v>74</v>
      </c>
      <c r="BA621" t="s">
        <v>74</v>
      </c>
      <c r="BB621">
        <v>95</v>
      </c>
      <c r="BC621">
        <v>101</v>
      </c>
      <c r="BD621" t="s">
        <v>74</v>
      </c>
      <c r="BE621" t="s">
        <v>9256</v>
      </c>
      <c r="BF621" t="str">
        <f>HYPERLINK("http://dx.doi.org/10.3189/172756405781813582","http://dx.doi.org/10.3189/172756405781813582")</f>
        <v>http://dx.doi.org/10.3189/172756405781813582</v>
      </c>
      <c r="BG621" t="s">
        <v>74</v>
      </c>
      <c r="BH621" t="s">
        <v>74</v>
      </c>
      <c r="BI621">
        <v>7</v>
      </c>
      <c r="BJ621" t="s">
        <v>537</v>
      </c>
      <c r="BK621" t="s">
        <v>989</v>
      </c>
      <c r="BL621" t="s">
        <v>307</v>
      </c>
      <c r="BM621" t="s">
        <v>9242</v>
      </c>
      <c r="BN621" t="s">
        <v>74</v>
      </c>
      <c r="BO621" t="s">
        <v>855</v>
      </c>
      <c r="BP621" t="s">
        <v>74</v>
      </c>
      <c r="BQ621" t="s">
        <v>74</v>
      </c>
      <c r="BR621" t="s">
        <v>97</v>
      </c>
      <c r="BS621" t="s">
        <v>9257</v>
      </c>
      <c r="BT621" t="str">
        <f>HYPERLINK("https%3A%2F%2Fwww.webofscience.com%2Fwos%2Fwoscc%2Ffull-record%2FWOS:000235930300016","View Full Record in Web of Science")</f>
        <v>View Full Record in Web of Science</v>
      </c>
    </row>
    <row r="622" spans="1:72" x14ac:dyDescent="0.15">
      <c r="A622" t="s">
        <v>1269</v>
      </c>
      <c r="B622" t="s">
        <v>9258</v>
      </c>
      <c r="C622" t="s">
        <v>74</v>
      </c>
      <c r="D622" t="s">
        <v>9223</v>
      </c>
      <c r="E622" t="s">
        <v>74</v>
      </c>
      <c r="F622" t="s">
        <v>9258</v>
      </c>
      <c r="G622" t="s">
        <v>74</v>
      </c>
      <c r="H622" t="s">
        <v>74</v>
      </c>
      <c r="I622" t="s">
        <v>9259</v>
      </c>
      <c r="J622" t="s">
        <v>9225</v>
      </c>
      <c r="K622" t="s">
        <v>9246</v>
      </c>
      <c r="L622" t="s">
        <v>74</v>
      </c>
      <c r="M622" t="s">
        <v>77</v>
      </c>
      <c r="N622" t="s">
        <v>495</v>
      </c>
      <c r="O622" t="s">
        <v>9227</v>
      </c>
      <c r="P622" t="s">
        <v>9228</v>
      </c>
      <c r="Q622" t="s">
        <v>9229</v>
      </c>
      <c r="R622" t="s">
        <v>74</v>
      </c>
      <c r="S622" t="s">
        <v>9230</v>
      </c>
      <c r="T622" t="s">
        <v>74</v>
      </c>
      <c r="U622" t="s">
        <v>9260</v>
      </c>
      <c r="V622" t="s">
        <v>9261</v>
      </c>
      <c r="W622" t="s">
        <v>9262</v>
      </c>
      <c r="X622" t="s">
        <v>9263</v>
      </c>
      <c r="Y622" t="s">
        <v>9264</v>
      </c>
      <c r="Z622" t="s">
        <v>9265</v>
      </c>
      <c r="AA622" t="s">
        <v>9266</v>
      </c>
      <c r="AB622" t="s">
        <v>9267</v>
      </c>
      <c r="AC622" t="s">
        <v>74</v>
      </c>
      <c r="AD622" t="s">
        <v>74</v>
      </c>
      <c r="AE622" t="s">
        <v>74</v>
      </c>
      <c r="AF622" t="s">
        <v>74</v>
      </c>
      <c r="AG622">
        <v>35</v>
      </c>
      <c r="AH622">
        <v>12</v>
      </c>
      <c r="AI622">
        <v>14</v>
      </c>
      <c r="AJ622">
        <v>0</v>
      </c>
      <c r="AK622">
        <v>4</v>
      </c>
      <c r="AL622" t="s">
        <v>9236</v>
      </c>
      <c r="AM622" t="s">
        <v>1813</v>
      </c>
      <c r="AN622" t="s">
        <v>9237</v>
      </c>
      <c r="AO622" t="s">
        <v>9238</v>
      </c>
      <c r="AP622" t="s">
        <v>74</v>
      </c>
      <c r="AQ622" t="s">
        <v>9239</v>
      </c>
      <c r="AR622" t="s">
        <v>9255</v>
      </c>
      <c r="AS622" t="s">
        <v>74</v>
      </c>
      <c r="AT622" t="s">
        <v>74</v>
      </c>
      <c r="AU622">
        <v>2005</v>
      </c>
      <c r="AV622">
        <v>40</v>
      </c>
      <c r="AW622" t="s">
        <v>74</v>
      </c>
      <c r="AX622" t="s">
        <v>74</v>
      </c>
      <c r="AY622" t="s">
        <v>74</v>
      </c>
      <c r="AZ622" t="s">
        <v>74</v>
      </c>
      <c r="BA622" t="s">
        <v>74</v>
      </c>
      <c r="BB622">
        <v>185</v>
      </c>
      <c r="BC622">
        <v>190</v>
      </c>
      <c r="BD622" t="s">
        <v>74</v>
      </c>
      <c r="BE622" t="s">
        <v>9268</v>
      </c>
      <c r="BF622" t="str">
        <f>HYPERLINK("http://dx.doi.org/10.3189/172756405781813618","http://dx.doi.org/10.3189/172756405781813618")</f>
        <v>http://dx.doi.org/10.3189/172756405781813618</v>
      </c>
      <c r="BG622" t="s">
        <v>74</v>
      </c>
      <c r="BH622" t="s">
        <v>74</v>
      </c>
      <c r="BI622">
        <v>6</v>
      </c>
      <c r="BJ622" t="s">
        <v>537</v>
      </c>
      <c r="BK622" t="s">
        <v>989</v>
      </c>
      <c r="BL622" t="s">
        <v>307</v>
      </c>
      <c r="BM622" t="s">
        <v>9242</v>
      </c>
      <c r="BN622" t="s">
        <v>74</v>
      </c>
      <c r="BO622" t="s">
        <v>539</v>
      </c>
      <c r="BP622" t="s">
        <v>74</v>
      </c>
      <c r="BQ622" t="s">
        <v>74</v>
      </c>
      <c r="BR622" t="s">
        <v>97</v>
      </c>
      <c r="BS622" t="s">
        <v>9269</v>
      </c>
      <c r="BT622" t="str">
        <f>HYPERLINK("https%3A%2F%2Fwww.webofscience.com%2Fwos%2Fwoscc%2Ffull-record%2FWOS:000235930300032","View Full Record in Web of Science")</f>
        <v>View Full Record in Web of Science</v>
      </c>
    </row>
    <row r="623" spans="1:72" x14ac:dyDescent="0.15">
      <c r="A623" t="s">
        <v>1269</v>
      </c>
      <c r="B623" t="s">
        <v>9270</v>
      </c>
      <c r="C623" t="s">
        <v>74</v>
      </c>
      <c r="D623" t="s">
        <v>9271</v>
      </c>
      <c r="E623" t="s">
        <v>74</v>
      </c>
      <c r="F623" t="s">
        <v>9272</v>
      </c>
      <c r="G623" t="s">
        <v>74</v>
      </c>
      <c r="H623" t="s">
        <v>74</v>
      </c>
      <c r="I623" t="s">
        <v>9273</v>
      </c>
      <c r="J623" t="s">
        <v>9274</v>
      </c>
      <c r="K623" t="s">
        <v>9226</v>
      </c>
      <c r="L623" t="s">
        <v>74</v>
      </c>
      <c r="M623" t="s">
        <v>77</v>
      </c>
      <c r="N623" t="s">
        <v>495</v>
      </c>
      <c r="O623" t="s">
        <v>9275</v>
      </c>
      <c r="P623" t="s">
        <v>9276</v>
      </c>
      <c r="Q623" t="s">
        <v>9277</v>
      </c>
      <c r="R623" t="s">
        <v>74</v>
      </c>
      <c r="S623" t="s">
        <v>74</v>
      </c>
      <c r="T623" t="s">
        <v>74</v>
      </c>
      <c r="U623" t="s">
        <v>9278</v>
      </c>
      <c r="V623" t="s">
        <v>9279</v>
      </c>
      <c r="W623" t="s">
        <v>9280</v>
      </c>
      <c r="X623" t="s">
        <v>9281</v>
      </c>
      <c r="Y623" t="s">
        <v>9282</v>
      </c>
      <c r="Z623" t="s">
        <v>9283</v>
      </c>
      <c r="AA623" t="s">
        <v>74</v>
      </c>
      <c r="AB623" t="s">
        <v>74</v>
      </c>
      <c r="AC623" t="s">
        <v>74</v>
      </c>
      <c r="AD623" t="s">
        <v>74</v>
      </c>
      <c r="AE623" t="s">
        <v>74</v>
      </c>
      <c r="AF623" t="s">
        <v>74</v>
      </c>
      <c r="AG623">
        <v>37</v>
      </c>
      <c r="AH623">
        <v>21</v>
      </c>
      <c r="AI623">
        <v>25</v>
      </c>
      <c r="AJ623">
        <v>1</v>
      </c>
      <c r="AK623">
        <v>8</v>
      </c>
      <c r="AL623" t="s">
        <v>9236</v>
      </c>
      <c r="AM623" t="s">
        <v>1813</v>
      </c>
      <c r="AN623" t="s">
        <v>9237</v>
      </c>
      <c r="AO623" t="s">
        <v>9238</v>
      </c>
      <c r="AP623" t="s">
        <v>74</v>
      </c>
      <c r="AQ623" t="s">
        <v>9284</v>
      </c>
      <c r="AR623" t="s">
        <v>9240</v>
      </c>
      <c r="AS623" t="s">
        <v>74</v>
      </c>
      <c r="AT623" t="s">
        <v>74</v>
      </c>
      <c r="AU623">
        <v>2005</v>
      </c>
      <c r="AV623">
        <v>41</v>
      </c>
      <c r="AW623" t="s">
        <v>74</v>
      </c>
      <c r="AX623" t="s">
        <v>74</v>
      </c>
      <c r="AY623" t="s">
        <v>74</v>
      </c>
      <c r="AZ623" t="s">
        <v>74</v>
      </c>
      <c r="BA623" t="s">
        <v>74</v>
      </c>
      <c r="BB623">
        <v>1</v>
      </c>
      <c r="BC623">
        <v>9</v>
      </c>
      <c r="BD623" t="s">
        <v>74</v>
      </c>
      <c r="BE623" t="s">
        <v>9285</v>
      </c>
      <c r="BF623" t="str">
        <f>HYPERLINK("http://dx.doi.org/10.3189/172756405781813221","http://dx.doi.org/10.3189/172756405781813221")</f>
        <v>http://dx.doi.org/10.3189/172756405781813221</v>
      </c>
      <c r="BG623" t="s">
        <v>74</v>
      </c>
      <c r="BH623" t="s">
        <v>74</v>
      </c>
      <c r="BI623">
        <v>9</v>
      </c>
      <c r="BJ623" t="s">
        <v>537</v>
      </c>
      <c r="BK623" t="s">
        <v>989</v>
      </c>
      <c r="BL623" t="s">
        <v>307</v>
      </c>
      <c r="BM623" t="s">
        <v>9286</v>
      </c>
      <c r="BN623" t="s">
        <v>74</v>
      </c>
      <c r="BO623" t="s">
        <v>539</v>
      </c>
      <c r="BP623" t="s">
        <v>74</v>
      </c>
      <c r="BQ623" t="s">
        <v>74</v>
      </c>
      <c r="BR623" t="s">
        <v>97</v>
      </c>
      <c r="BS623" t="s">
        <v>9287</v>
      </c>
      <c r="BT623" t="str">
        <f>HYPERLINK("https%3A%2F%2Fwww.webofscience.com%2Fwos%2Fwoscc%2Ffull-record%2FWOS:000238029800001","View Full Record in Web of Science")</f>
        <v>View Full Record in Web of Science</v>
      </c>
    </row>
    <row r="624" spans="1:72" x14ac:dyDescent="0.15">
      <c r="A624" t="s">
        <v>1269</v>
      </c>
      <c r="B624" t="s">
        <v>9288</v>
      </c>
      <c r="C624" t="s">
        <v>74</v>
      </c>
      <c r="D624" t="s">
        <v>9271</v>
      </c>
      <c r="E624" t="s">
        <v>74</v>
      </c>
      <c r="F624" t="s">
        <v>9289</v>
      </c>
      <c r="G624" t="s">
        <v>74</v>
      </c>
      <c r="H624" t="s">
        <v>74</v>
      </c>
      <c r="I624" t="s">
        <v>9290</v>
      </c>
      <c r="J624" t="s">
        <v>9274</v>
      </c>
      <c r="K624" t="s">
        <v>9226</v>
      </c>
      <c r="L624" t="s">
        <v>74</v>
      </c>
      <c r="M624" t="s">
        <v>77</v>
      </c>
      <c r="N624" t="s">
        <v>495</v>
      </c>
      <c r="O624" t="s">
        <v>9275</v>
      </c>
      <c r="P624" t="s">
        <v>9276</v>
      </c>
      <c r="Q624" t="s">
        <v>9277</v>
      </c>
      <c r="R624" t="s">
        <v>74</v>
      </c>
      <c r="S624" t="s">
        <v>74</v>
      </c>
      <c r="T624" t="s">
        <v>74</v>
      </c>
      <c r="U624" t="s">
        <v>9291</v>
      </c>
      <c r="V624" t="s">
        <v>9292</v>
      </c>
      <c r="W624" t="s">
        <v>9293</v>
      </c>
      <c r="X624" t="s">
        <v>9294</v>
      </c>
      <c r="Y624" t="s">
        <v>9295</v>
      </c>
      <c r="Z624" t="s">
        <v>9296</v>
      </c>
      <c r="AA624" t="s">
        <v>9297</v>
      </c>
      <c r="AB624" t="s">
        <v>74</v>
      </c>
      <c r="AC624" t="s">
        <v>74</v>
      </c>
      <c r="AD624" t="s">
        <v>74</v>
      </c>
      <c r="AE624" t="s">
        <v>74</v>
      </c>
      <c r="AF624" t="s">
        <v>74</v>
      </c>
      <c r="AG624">
        <v>22</v>
      </c>
      <c r="AH624">
        <v>36</v>
      </c>
      <c r="AI624">
        <v>41</v>
      </c>
      <c r="AJ624">
        <v>0</v>
      </c>
      <c r="AK624">
        <v>10</v>
      </c>
      <c r="AL624" t="s">
        <v>9236</v>
      </c>
      <c r="AM624" t="s">
        <v>1813</v>
      </c>
      <c r="AN624" t="s">
        <v>9237</v>
      </c>
      <c r="AO624" t="s">
        <v>9238</v>
      </c>
      <c r="AP624" t="s">
        <v>74</v>
      </c>
      <c r="AQ624" t="s">
        <v>9284</v>
      </c>
      <c r="AR624" t="s">
        <v>9240</v>
      </c>
      <c r="AS624" t="s">
        <v>74</v>
      </c>
      <c r="AT624" t="s">
        <v>74</v>
      </c>
      <c r="AU624">
        <v>2005</v>
      </c>
      <c r="AV624">
        <v>41</v>
      </c>
      <c r="AW624" t="s">
        <v>74</v>
      </c>
      <c r="AX624" t="s">
        <v>74</v>
      </c>
      <c r="AY624" t="s">
        <v>74</v>
      </c>
      <c r="AZ624" t="s">
        <v>74</v>
      </c>
      <c r="BA624" t="s">
        <v>74</v>
      </c>
      <c r="BB624">
        <v>10</v>
      </c>
      <c r="BC624">
        <v>16</v>
      </c>
      <c r="BD624" t="s">
        <v>74</v>
      </c>
      <c r="BE624" t="s">
        <v>9298</v>
      </c>
      <c r="BF624" t="str">
        <f>HYPERLINK("http://dx.doi.org/10.3189/172756405781813267","http://dx.doi.org/10.3189/172756405781813267")</f>
        <v>http://dx.doi.org/10.3189/172756405781813267</v>
      </c>
      <c r="BG624" t="s">
        <v>74</v>
      </c>
      <c r="BH624" t="s">
        <v>74</v>
      </c>
      <c r="BI624">
        <v>7</v>
      </c>
      <c r="BJ624" t="s">
        <v>537</v>
      </c>
      <c r="BK624" t="s">
        <v>989</v>
      </c>
      <c r="BL624" t="s">
        <v>307</v>
      </c>
      <c r="BM624" t="s">
        <v>9286</v>
      </c>
      <c r="BN624" t="s">
        <v>74</v>
      </c>
      <c r="BO624" t="s">
        <v>3093</v>
      </c>
      <c r="BP624" t="s">
        <v>74</v>
      </c>
      <c r="BQ624" t="s">
        <v>74</v>
      </c>
      <c r="BR624" t="s">
        <v>97</v>
      </c>
      <c r="BS624" t="s">
        <v>9299</v>
      </c>
      <c r="BT624" t="str">
        <f>HYPERLINK("https%3A%2F%2Fwww.webofscience.com%2Fwos%2Fwoscc%2Ffull-record%2FWOS:000238029800002","View Full Record in Web of Science")</f>
        <v>View Full Record in Web of Science</v>
      </c>
    </row>
    <row r="625" spans="1:72" x14ac:dyDescent="0.15">
      <c r="A625" t="s">
        <v>1269</v>
      </c>
      <c r="B625" t="s">
        <v>9300</v>
      </c>
      <c r="C625" t="s">
        <v>74</v>
      </c>
      <c r="D625" t="s">
        <v>9271</v>
      </c>
      <c r="E625" t="s">
        <v>74</v>
      </c>
      <c r="F625" t="s">
        <v>9301</v>
      </c>
      <c r="G625" t="s">
        <v>74</v>
      </c>
      <c r="H625" t="s">
        <v>74</v>
      </c>
      <c r="I625" t="s">
        <v>9302</v>
      </c>
      <c r="J625" t="s">
        <v>9303</v>
      </c>
      <c r="K625" t="s">
        <v>9246</v>
      </c>
      <c r="L625" t="s">
        <v>74</v>
      </c>
      <c r="M625" t="s">
        <v>77</v>
      </c>
      <c r="N625" t="s">
        <v>495</v>
      </c>
      <c r="O625" t="s">
        <v>9304</v>
      </c>
      <c r="P625" t="s">
        <v>9276</v>
      </c>
      <c r="Q625" t="s">
        <v>9277</v>
      </c>
      <c r="R625" t="s">
        <v>74</v>
      </c>
      <c r="S625" t="s">
        <v>74</v>
      </c>
      <c r="T625" t="s">
        <v>74</v>
      </c>
      <c r="U625" t="s">
        <v>9305</v>
      </c>
      <c r="V625" t="s">
        <v>9306</v>
      </c>
      <c r="W625" t="s">
        <v>9307</v>
      </c>
      <c r="X625" t="s">
        <v>9308</v>
      </c>
      <c r="Y625" t="s">
        <v>9309</v>
      </c>
      <c r="Z625" t="s">
        <v>9310</v>
      </c>
      <c r="AA625" t="s">
        <v>74</v>
      </c>
      <c r="AB625" t="s">
        <v>9311</v>
      </c>
      <c r="AC625" t="s">
        <v>74</v>
      </c>
      <c r="AD625" t="s">
        <v>74</v>
      </c>
      <c r="AE625" t="s">
        <v>74</v>
      </c>
      <c r="AF625" t="s">
        <v>74</v>
      </c>
      <c r="AG625">
        <v>41</v>
      </c>
      <c r="AH625">
        <v>29</v>
      </c>
      <c r="AI625">
        <v>34</v>
      </c>
      <c r="AJ625">
        <v>0</v>
      </c>
      <c r="AK625">
        <v>4</v>
      </c>
      <c r="AL625" t="s">
        <v>9236</v>
      </c>
      <c r="AM625" t="s">
        <v>1813</v>
      </c>
      <c r="AN625" t="s">
        <v>9237</v>
      </c>
      <c r="AO625" t="s">
        <v>9238</v>
      </c>
      <c r="AP625" t="s">
        <v>74</v>
      </c>
      <c r="AQ625" t="s">
        <v>9284</v>
      </c>
      <c r="AR625" t="s">
        <v>9255</v>
      </c>
      <c r="AS625" t="s">
        <v>74</v>
      </c>
      <c r="AT625" t="s">
        <v>74</v>
      </c>
      <c r="AU625">
        <v>2005</v>
      </c>
      <c r="AV625">
        <v>41</v>
      </c>
      <c r="AW625" t="s">
        <v>74</v>
      </c>
      <c r="AX625" t="s">
        <v>74</v>
      </c>
      <c r="AY625" t="s">
        <v>74</v>
      </c>
      <c r="AZ625" t="s">
        <v>74</v>
      </c>
      <c r="BA625" t="s">
        <v>74</v>
      </c>
      <c r="BB625">
        <v>17</v>
      </c>
      <c r="BC625">
        <v>22</v>
      </c>
      <c r="BD625" t="s">
        <v>74</v>
      </c>
      <c r="BE625" t="s">
        <v>9312</v>
      </c>
      <c r="BF625" t="str">
        <f>HYPERLINK("http://dx.doi.org/10.3189/172756405781813230","http://dx.doi.org/10.3189/172756405781813230")</f>
        <v>http://dx.doi.org/10.3189/172756405781813230</v>
      </c>
      <c r="BG625" t="s">
        <v>74</v>
      </c>
      <c r="BH625" t="s">
        <v>74</v>
      </c>
      <c r="BI625">
        <v>6</v>
      </c>
      <c r="BJ625" t="s">
        <v>537</v>
      </c>
      <c r="BK625" t="s">
        <v>989</v>
      </c>
      <c r="BL625" t="s">
        <v>307</v>
      </c>
      <c r="BM625" t="s">
        <v>9286</v>
      </c>
      <c r="BN625" t="s">
        <v>74</v>
      </c>
      <c r="BO625" t="s">
        <v>3093</v>
      </c>
      <c r="BP625" t="s">
        <v>74</v>
      </c>
      <c r="BQ625" t="s">
        <v>74</v>
      </c>
      <c r="BR625" t="s">
        <v>97</v>
      </c>
      <c r="BS625" t="s">
        <v>9313</v>
      </c>
      <c r="BT625" t="str">
        <f>HYPERLINK("https%3A%2F%2Fwww.webofscience.com%2Fwos%2Fwoscc%2Ffull-record%2FWOS:000238029800003","View Full Record in Web of Science")</f>
        <v>View Full Record in Web of Science</v>
      </c>
    </row>
    <row r="626" spans="1:72" x14ac:dyDescent="0.15">
      <c r="A626" t="s">
        <v>1269</v>
      </c>
      <c r="B626" t="s">
        <v>9314</v>
      </c>
      <c r="C626" t="s">
        <v>74</v>
      </c>
      <c r="D626" t="s">
        <v>9271</v>
      </c>
      <c r="E626" t="s">
        <v>74</v>
      </c>
      <c r="F626" t="s">
        <v>9315</v>
      </c>
      <c r="G626" t="s">
        <v>74</v>
      </c>
      <c r="H626" t="s">
        <v>74</v>
      </c>
      <c r="I626" t="s">
        <v>9316</v>
      </c>
      <c r="J626" t="s">
        <v>9274</v>
      </c>
      <c r="K626" t="s">
        <v>9226</v>
      </c>
      <c r="L626" t="s">
        <v>74</v>
      </c>
      <c r="M626" t="s">
        <v>77</v>
      </c>
      <c r="N626" t="s">
        <v>495</v>
      </c>
      <c r="O626" t="s">
        <v>9275</v>
      </c>
      <c r="P626" t="s">
        <v>9276</v>
      </c>
      <c r="Q626" t="s">
        <v>9277</v>
      </c>
      <c r="R626" t="s">
        <v>74</v>
      </c>
      <c r="S626" t="s">
        <v>74</v>
      </c>
      <c r="T626" t="s">
        <v>74</v>
      </c>
      <c r="U626" t="s">
        <v>9317</v>
      </c>
      <c r="V626" t="s">
        <v>9318</v>
      </c>
      <c r="W626" t="s">
        <v>9319</v>
      </c>
      <c r="X626" t="s">
        <v>9320</v>
      </c>
      <c r="Y626" t="s">
        <v>9321</v>
      </c>
      <c r="Z626" t="s">
        <v>9322</v>
      </c>
      <c r="AA626" t="s">
        <v>9323</v>
      </c>
      <c r="AB626" t="s">
        <v>9324</v>
      </c>
      <c r="AC626" t="s">
        <v>74</v>
      </c>
      <c r="AD626" t="s">
        <v>74</v>
      </c>
      <c r="AE626" t="s">
        <v>74</v>
      </c>
      <c r="AF626" t="s">
        <v>74</v>
      </c>
      <c r="AG626">
        <v>37</v>
      </c>
      <c r="AH626">
        <v>20</v>
      </c>
      <c r="AI626">
        <v>21</v>
      </c>
      <c r="AJ626">
        <v>0</v>
      </c>
      <c r="AK626">
        <v>7</v>
      </c>
      <c r="AL626" t="s">
        <v>9236</v>
      </c>
      <c r="AM626" t="s">
        <v>1813</v>
      </c>
      <c r="AN626" t="s">
        <v>9237</v>
      </c>
      <c r="AO626" t="s">
        <v>9238</v>
      </c>
      <c r="AP626" t="s">
        <v>74</v>
      </c>
      <c r="AQ626" t="s">
        <v>9284</v>
      </c>
      <c r="AR626" t="s">
        <v>9240</v>
      </c>
      <c r="AS626" t="s">
        <v>74</v>
      </c>
      <c r="AT626" t="s">
        <v>74</v>
      </c>
      <c r="AU626">
        <v>2005</v>
      </c>
      <c r="AV626">
        <v>41</v>
      </c>
      <c r="AW626" t="s">
        <v>74</v>
      </c>
      <c r="AX626" t="s">
        <v>74</v>
      </c>
      <c r="AY626" t="s">
        <v>74</v>
      </c>
      <c r="AZ626" t="s">
        <v>74</v>
      </c>
      <c r="BA626" t="s">
        <v>74</v>
      </c>
      <c r="BB626">
        <v>23</v>
      </c>
      <c r="BC626">
        <v>31</v>
      </c>
      <c r="BD626" t="s">
        <v>74</v>
      </c>
      <c r="BE626" t="s">
        <v>9325</v>
      </c>
      <c r="BF626" t="str">
        <f>HYPERLINK("http://dx.doi.org/10.3189/172756405781813384","http://dx.doi.org/10.3189/172756405781813384")</f>
        <v>http://dx.doi.org/10.3189/172756405781813384</v>
      </c>
      <c r="BG626" t="s">
        <v>74</v>
      </c>
      <c r="BH626" t="s">
        <v>74</v>
      </c>
      <c r="BI626">
        <v>9</v>
      </c>
      <c r="BJ626" t="s">
        <v>537</v>
      </c>
      <c r="BK626" t="s">
        <v>989</v>
      </c>
      <c r="BL626" t="s">
        <v>307</v>
      </c>
      <c r="BM626" t="s">
        <v>9286</v>
      </c>
      <c r="BN626" t="s">
        <v>74</v>
      </c>
      <c r="BO626" t="s">
        <v>3093</v>
      </c>
      <c r="BP626" t="s">
        <v>74</v>
      </c>
      <c r="BQ626" t="s">
        <v>74</v>
      </c>
      <c r="BR626" t="s">
        <v>97</v>
      </c>
      <c r="BS626" t="s">
        <v>9326</v>
      </c>
      <c r="BT626" t="str">
        <f>HYPERLINK("https%3A%2F%2Fwww.webofscience.com%2Fwos%2Fwoscc%2Ffull-record%2FWOS:000238029800004","View Full Record in Web of Science")</f>
        <v>View Full Record in Web of Science</v>
      </c>
    </row>
    <row r="627" spans="1:72" x14ac:dyDescent="0.15">
      <c r="A627" t="s">
        <v>1269</v>
      </c>
      <c r="B627" t="s">
        <v>9327</v>
      </c>
      <c r="C627" t="s">
        <v>74</v>
      </c>
      <c r="D627" t="s">
        <v>9271</v>
      </c>
      <c r="E627" t="s">
        <v>74</v>
      </c>
      <c r="F627" t="s">
        <v>9328</v>
      </c>
      <c r="G627" t="s">
        <v>74</v>
      </c>
      <c r="H627" t="s">
        <v>74</v>
      </c>
      <c r="I627" t="s">
        <v>9329</v>
      </c>
      <c r="J627" t="s">
        <v>9303</v>
      </c>
      <c r="K627" t="s">
        <v>9246</v>
      </c>
      <c r="L627" t="s">
        <v>74</v>
      </c>
      <c r="M627" t="s">
        <v>77</v>
      </c>
      <c r="N627" t="s">
        <v>495</v>
      </c>
      <c r="O627" t="s">
        <v>9304</v>
      </c>
      <c r="P627" t="s">
        <v>9276</v>
      </c>
      <c r="Q627" t="s">
        <v>9277</v>
      </c>
      <c r="R627" t="s">
        <v>74</v>
      </c>
      <c r="S627" t="s">
        <v>74</v>
      </c>
      <c r="T627" t="s">
        <v>74</v>
      </c>
      <c r="U627" t="s">
        <v>9330</v>
      </c>
      <c r="V627" t="s">
        <v>9331</v>
      </c>
      <c r="W627" t="s">
        <v>9319</v>
      </c>
      <c r="X627" t="s">
        <v>9320</v>
      </c>
      <c r="Y627" t="s">
        <v>9332</v>
      </c>
      <c r="Z627" t="s">
        <v>9322</v>
      </c>
      <c r="AA627" t="s">
        <v>9333</v>
      </c>
      <c r="AB627" t="s">
        <v>9334</v>
      </c>
      <c r="AC627" t="s">
        <v>74</v>
      </c>
      <c r="AD627" t="s">
        <v>74</v>
      </c>
      <c r="AE627" t="s">
        <v>74</v>
      </c>
      <c r="AF627" t="s">
        <v>74</v>
      </c>
      <c r="AG627">
        <v>49</v>
      </c>
      <c r="AH627">
        <v>54</v>
      </c>
      <c r="AI627">
        <v>60</v>
      </c>
      <c r="AJ627">
        <v>0</v>
      </c>
      <c r="AK627">
        <v>14</v>
      </c>
      <c r="AL627" t="s">
        <v>9236</v>
      </c>
      <c r="AM627" t="s">
        <v>1813</v>
      </c>
      <c r="AN627" t="s">
        <v>9237</v>
      </c>
      <c r="AO627" t="s">
        <v>9238</v>
      </c>
      <c r="AP627" t="s">
        <v>74</v>
      </c>
      <c r="AQ627" t="s">
        <v>9284</v>
      </c>
      <c r="AR627" t="s">
        <v>9255</v>
      </c>
      <c r="AS627" t="s">
        <v>74</v>
      </c>
      <c r="AT627" t="s">
        <v>74</v>
      </c>
      <c r="AU627">
        <v>2005</v>
      </c>
      <c r="AV627">
        <v>41</v>
      </c>
      <c r="AW627" t="s">
        <v>74</v>
      </c>
      <c r="AX627" t="s">
        <v>74</v>
      </c>
      <c r="AY627" t="s">
        <v>74</v>
      </c>
      <c r="AZ627" t="s">
        <v>74</v>
      </c>
      <c r="BA627" t="s">
        <v>74</v>
      </c>
      <c r="BB627">
        <v>32</v>
      </c>
      <c r="BC627">
        <v>40</v>
      </c>
      <c r="BD627" t="s">
        <v>74</v>
      </c>
      <c r="BE627" t="s">
        <v>9335</v>
      </c>
      <c r="BF627" t="str">
        <f>HYPERLINK("http://dx.doi.org/10.3189/172756405781813285","http://dx.doi.org/10.3189/172756405781813285")</f>
        <v>http://dx.doi.org/10.3189/172756405781813285</v>
      </c>
      <c r="BG627" t="s">
        <v>74</v>
      </c>
      <c r="BH627" t="s">
        <v>74</v>
      </c>
      <c r="BI627">
        <v>9</v>
      </c>
      <c r="BJ627" t="s">
        <v>537</v>
      </c>
      <c r="BK627" t="s">
        <v>989</v>
      </c>
      <c r="BL627" t="s">
        <v>307</v>
      </c>
      <c r="BM627" t="s">
        <v>9286</v>
      </c>
      <c r="BN627" t="s">
        <v>74</v>
      </c>
      <c r="BO627" t="s">
        <v>3093</v>
      </c>
      <c r="BP627" t="s">
        <v>74</v>
      </c>
      <c r="BQ627" t="s">
        <v>74</v>
      </c>
      <c r="BR627" t="s">
        <v>97</v>
      </c>
      <c r="BS627" t="s">
        <v>9336</v>
      </c>
      <c r="BT627" t="str">
        <f>HYPERLINK("https%3A%2F%2Fwww.webofscience.com%2Fwos%2Fwoscc%2Ffull-record%2FWOS:000238029800005","View Full Record in Web of Science")</f>
        <v>View Full Record in Web of Science</v>
      </c>
    </row>
    <row r="628" spans="1:72" x14ac:dyDescent="0.15">
      <c r="A628" t="s">
        <v>1269</v>
      </c>
      <c r="B628" t="s">
        <v>9337</v>
      </c>
      <c r="C628" t="s">
        <v>74</v>
      </c>
      <c r="D628" t="s">
        <v>9271</v>
      </c>
      <c r="E628" t="s">
        <v>74</v>
      </c>
      <c r="F628" t="s">
        <v>9338</v>
      </c>
      <c r="G628" t="s">
        <v>74</v>
      </c>
      <c r="H628" t="s">
        <v>74</v>
      </c>
      <c r="I628" t="s">
        <v>9339</v>
      </c>
      <c r="J628" t="s">
        <v>9274</v>
      </c>
      <c r="K628" t="s">
        <v>9226</v>
      </c>
      <c r="L628" t="s">
        <v>74</v>
      </c>
      <c r="M628" t="s">
        <v>77</v>
      </c>
      <c r="N628" t="s">
        <v>495</v>
      </c>
      <c r="O628" t="s">
        <v>9275</v>
      </c>
      <c r="P628" t="s">
        <v>9276</v>
      </c>
      <c r="Q628" t="s">
        <v>9277</v>
      </c>
      <c r="R628" t="s">
        <v>74</v>
      </c>
      <c r="S628" t="s">
        <v>74</v>
      </c>
      <c r="T628" t="s">
        <v>74</v>
      </c>
      <c r="U628" t="s">
        <v>9340</v>
      </c>
      <c r="V628" t="s">
        <v>9341</v>
      </c>
      <c r="W628" t="s">
        <v>6865</v>
      </c>
      <c r="X628" t="s">
        <v>128</v>
      </c>
      <c r="Y628" t="s">
        <v>9342</v>
      </c>
      <c r="Z628" t="s">
        <v>9343</v>
      </c>
      <c r="AA628" t="s">
        <v>9344</v>
      </c>
      <c r="AB628" t="s">
        <v>9345</v>
      </c>
      <c r="AC628" t="s">
        <v>74</v>
      </c>
      <c r="AD628" t="s">
        <v>74</v>
      </c>
      <c r="AE628" t="s">
        <v>74</v>
      </c>
      <c r="AF628" t="s">
        <v>74</v>
      </c>
      <c r="AG628">
        <v>24</v>
      </c>
      <c r="AH628">
        <v>23</v>
      </c>
      <c r="AI628">
        <v>26</v>
      </c>
      <c r="AJ628">
        <v>1</v>
      </c>
      <c r="AK628">
        <v>11</v>
      </c>
      <c r="AL628" t="s">
        <v>9236</v>
      </c>
      <c r="AM628" t="s">
        <v>1813</v>
      </c>
      <c r="AN628" t="s">
        <v>9237</v>
      </c>
      <c r="AO628" t="s">
        <v>9238</v>
      </c>
      <c r="AP628" t="s">
        <v>74</v>
      </c>
      <c r="AQ628" t="s">
        <v>9284</v>
      </c>
      <c r="AR628" t="s">
        <v>9240</v>
      </c>
      <c r="AS628" t="s">
        <v>74</v>
      </c>
      <c r="AT628" t="s">
        <v>74</v>
      </c>
      <c r="AU628">
        <v>2005</v>
      </c>
      <c r="AV628">
        <v>41</v>
      </c>
      <c r="AW628" t="s">
        <v>74</v>
      </c>
      <c r="AX628" t="s">
        <v>74</v>
      </c>
      <c r="AY628" t="s">
        <v>74</v>
      </c>
      <c r="AZ628" t="s">
        <v>74</v>
      </c>
      <c r="BA628" t="s">
        <v>74</v>
      </c>
      <c r="BB628">
        <v>41</v>
      </c>
      <c r="BC628">
        <v>46</v>
      </c>
      <c r="BD628" t="s">
        <v>74</v>
      </c>
      <c r="BE628" t="s">
        <v>9346</v>
      </c>
      <c r="BF628" t="str">
        <f>HYPERLINK("http://dx.doi.org/10.3189/172756405781813276","http://dx.doi.org/10.3189/172756405781813276")</f>
        <v>http://dx.doi.org/10.3189/172756405781813276</v>
      </c>
      <c r="BG628" t="s">
        <v>74</v>
      </c>
      <c r="BH628" t="s">
        <v>74</v>
      </c>
      <c r="BI628">
        <v>6</v>
      </c>
      <c r="BJ628" t="s">
        <v>537</v>
      </c>
      <c r="BK628" t="s">
        <v>989</v>
      </c>
      <c r="BL628" t="s">
        <v>307</v>
      </c>
      <c r="BM628" t="s">
        <v>9286</v>
      </c>
      <c r="BN628" t="s">
        <v>74</v>
      </c>
      <c r="BO628" t="s">
        <v>539</v>
      </c>
      <c r="BP628" t="s">
        <v>74</v>
      </c>
      <c r="BQ628" t="s">
        <v>74</v>
      </c>
      <c r="BR628" t="s">
        <v>97</v>
      </c>
      <c r="BS628" t="s">
        <v>9347</v>
      </c>
      <c r="BT628" t="str">
        <f>HYPERLINK("https%3A%2F%2Fwww.webofscience.com%2Fwos%2Fwoscc%2Ffull-record%2FWOS:000238029800006","View Full Record in Web of Science")</f>
        <v>View Full Record in Web of Science</v>
      </c>
    </row>
    <row r="629" spans="1:72" x14ac:dyDescent="0.15">
      <c r="A629" t="s">
        <v>1269</v>
      </c>
      <c r="B629" t="s">
        <v>9348</v>
      </c>
      <c r="C629" t="s">
        <v>74</v>
      </c>
      <c r="D629" t="s">
        <v>9271</v>
      </c>
      <c r="E629" t="s">
        <v>74</v>
      </c>
      <c r="F629" t="s">
        <v>9349</v>
      </c>
      <c r="G629" t="s">
        <v>74</v>
      </c>
      <c r="H629" t="s">
        <v>74</v>
      </c>
      <c r="I629" t="s">
        <v>9350</v>
      </c>
      <c r="J629" t="s">
        <v>9274</v>
      </c>
      <c r="K629" t="s">
        <v>9226</v>
      </c>
      <c r="L629" t="s">
        <v>74</v>
      </c>
      <c r="M629" t="s">
        <v>77</v>
      </c>
      <c r="N629" t="s">
        <v>495</v>
      </c>
      <c r="O629" t="s">
        <v>9275</v>
      </c>
      <c r="P629" t="s">
        <v>9276</v>
      </c>
      <c r="Q629" t="s">
        <v>9277</v>
      </c>
      <c r="R629" t="s">
        <v>74</v>
      </c>
      <c r="S629" t="s">
        <v>74</v>
      </c>
      <c r="T629" t="s">
        <v>74</v>
      </c>
      <c r="U629" t="s">
        <v>9351</v>
      </c>
      <c r="V629" t="s">
        <v>9352</v>
      </c>
      <c r="W629" t="s">
        <v>9353</v>
      </c>
      <c r="X629" t="s">
        <v>9354</v>
      </c>
      <c r="Y629" t="s">
        <v>9355</v>
      </c>
      <c r="Z629" t="s">
        <v>9356</v>
      </c>
      <c r="AA629" t="s">
        <v>74</v>
      </c>
      <c r="AB629" t="s">
        <v>74</v>
      </c>
      <c r="AC629" t="s">
        <v>74</v>
      </c>
      <c r="AD629" t="s">
        <v>74</v>
      </c>
      <c r="AE629" t="s">
        <v>74</v>
      </c>
      <c r="AF629" t="s">
        <v>74</v>
      </c>
      <c r="AG629">
        <v>22</v>
      </c>
      <c r="AH629">
        <v>22</v>
      </c>
      <c r="AI629">
        <v>23</v>
      </c>
      <c r="AJ629">
        <v>1</v>
      </c>
      <c r="AK629">
        <v>6</v>
      </c>
      <c r="AL629" t="s">
        <v>9236</v>
      </c>
      <c r="AM629" t="s">
        <v>1813</v>
      </c>
      <c r="AN629" t="s">
        <v>9237</v>
      </c>
      <c r="AO629" t="s">
        <v>9238</v>
      </c>
      <c r="AP629" t="s">
        <v>74</v>
      </c>
      <c r="AQ629" t="s">
        <v>9284</v>
      </c>
      <c r="AR629" t="s">
        <v>9240</v>
      </c>
      <c r="AS629" t="s">
        <v>74</v>
      </c>
      <c r="AT629" t="s">
        <v>74</v>
      </c>
      <c r="AU629">
        <v>2005</v>
      </c>
      <c r="AV629">
        <v>41</v>
      </c>
      <c r="AW629" t="s">
        <v>74</v>
      </c>
      <c r="AX629" t="s">
        <v>74</v>
      </c>
      <c r="AY629" t="s">
        <v>74</v>
      </c>
      <c r="AZ629" t="s">
        <v>74</v>
      </c>
      <c r="BA629" t="s">
        <v>74</v>
      </c>
      <c r="BB629">
        <v>47</v>
      </c>
      <c r="BC629">
        <v>51</v>
      </c>
      <c r="BD629" t="s">
        <v>74</v>
      </c>
      <c r="BE629" t="s">
        <v>9357</v>
      </c>
      <c r="BF629" t="str">
        <f>HYPERLINK("http://dx.doi.org/10.3189/172756405781813348","http://dx.doi.org/10.3189/172756405781813348")</f>
        <v>http://dx.doi.org/10.3189/172756405781813348</v>
      </c>
      <c r="BG629" t="s">
        <v>74</v>
      </c>
      <c r="BH629" t="s">
        <v>74</v>
      </c>
      <c r="BI629">
        <v>5</v>
      </c>
      <c r="BJ629" t="s">
        <v>537</v>
      </c>
      <c r="BK629" t="s">
        <v>989</v>
      </c>
      <c r="BL629" t="s">
        <v>307</v>
      </c>
      <c r="BM629" t="s">
        <v>9286</v>
      </c>
      <c r="BN629" t="s">
        <v>74</v>
      </c>
      <c r="BO629" t="s">
        <v>539</v>
      </c>
      <c r="BP629" t="s">
        <v>74</v>
      </c>
      <c r="BQ629" t="s">
        <v>74</v>
      </c>
      <c r="BR629" t="s">
        <v>97</v>
      </c>
      <c r="BS629" t="s">
        <v>9358</v>
      </c>
      <c r="BT629" t="str">
        <f>HYPERLINK("https%3A%2F%2Fwww.webofscience.com%2Fwos%2Fwoscc%2Ffull-record%2FWOS:000238029800007","View Full Record in Web of Science")</f>
        <v>View Full Record in Web of Science</v>
      </c>
    </row>
    <row r="630" spans="1:72" x14ac:dyDescent="0.15">
      <c r="A630" t="s">
        <v>1269</v>
      </c>
      <c r="B630" t="s">
        <v>9359</v>
      </c>
      <c r="C630" t="s">
        <v>74</v>
      </c>
      <c r="D630" t="s">
        <v>9271</v>
      </c>
      <c r="E630" t="s">
        <v>74</v>
      </c>
      <c r="F630" t="s">
        <v>9360</v>
      </c>
      <c r="G630" t="s">
        <v>74</v>
      </c>
      <c r="H630" t="s">
        <v>74</v>
      </c>
      <c r="I630" t="s">
        <v>9361</v>
      </c>
      <c r="J630" t="s">
        <v>9274</v>
      </c>
      <c r="K630" t="s">
        <v>9226</v>
      </c>
      <c r="L630" t="s">
        <v>74</v>
      </c>
      <c r="M630" t="s">
        <v>77</v>
      </c>
      <c r="N630" t="s">
        <v>495</v>
      </c>
      <c r="O630" t="s">
        <v>9275</v>
      </c>
      <c r="P630" t="s">
        <v>9276</v>
      </c>
      <c r="Q630" t="s">
        <v>9277</v>
      </c>
      <c r="R630" t="s">
        <v>74</v>
      </c>
      <c r="S630" t="s">
        <v>74</v>
      </c>
      <c r="T630" t="s">
        <v>74</v>
      </c>
      <c r="U630" t="s">
        <v>74</v>
      </c>
      <c r="V630" t="s">
        <v>9362</v>
      </c>
      <c r="W630" t="s">
        <v>9363</v>
      </c>
      <c r="X630" t="s">
        <v>9364</v>
      </c>
      <c r="Y630" t="s">
        <v>9365</v>
      </c>
      <c r="Z630" t="s">
        <v>9366</v>
      </c>
      <c r="AA630" t="s">
        <v>9367</v>
      </c>
      <c r="AB630" t="s">
        <v>9368</v>
      </c>
      <c r="AC630" t="s">
        <v>74</v>
      </c>
      <c r="AD630" t="s">
        <v>74</v>
      </c>
      <c r="AE630" t="s">
        <v>74</v>
      </c>
      <c r="AF630" t="s">
        <v>74</v>
      </c>
      <c r="AG630">
        <v>18</v>
      </c>
      <c r="AH630">
        <v>7</v>
      </c>
      <c r="AI630">
        <v>7</v>
      </c>
      <c r="AJ630">
        <v>0</v>
      </c>
      <c r="AK630">
        <v>8</v>
      </c>
      <c r="AL630" t="s">
        <v>9236</v>
      </c>
      <c r="AM630" t="s">
        <v>1813</v>
      </c>
      <c r="AN630" t="s">
        <v>9237</v>
      </c>
      <c r="AO630" t="s">
        <v>9238</v>
      </c>
      <c r="AP630" t="s">
        <v>74</v>
      </c>
      <c r="AQ630" t="s">
        <v>9284</v>
      </c>
      <c r="AR630" t="s">
        <v>9240</v>
      </c>
      <c r="AS630" t="s">
        <v>74</v>
      </c>
      <c r="AT630" t="s">
        <v>74</v>
      </c>
      <c r="AU630">
        <v>2005</v>
      </c>
      <c r="AV630">
        <v>41</v>
      </c>
      <c r="AW630" t="s">
        <v>74</v>
      </c>
      <c r="AX630" t="s">
        <v>74</v>
      </c>
      <c r="AY630" t="s">
        <v>74</v>
      </c>
      <c r="AZ630" t="s">
        <v>74</v>
      </c>
      <c r="BA630" t="s">
        <v>74</v>
      </c>
      <c r="BB630">
        <v>52</v>
      </c>
      <c r="BC630">
        <v>56</v>
      </c>
      <c r="BD630" t="s">
        <v>74</v>
      </c>
      <c r="BE630" t="s">
        <v>9369</v>
      </c>
      <c r="BF630" t="str">
        <f>HYPERLINK("http://dx.doi.org/10.3189/172756405781813203","http://dx.doi.org/10.3189/172756405781813203")</f>
        <v>http://dx.doi.org/10.3189/172756405781813203</v>
      </c>
      <c r="BG630" t="s">
        <v>74</v>
      </c>
      <c r="BH630" t="s">
        <v>74</v>
      </c>
      <c r="BI630">
        <v>5</v>
      </c>
      <c r="BJ630" t="s">
        <v>537</v>
      </c>
      <c r="BK630" t="s">
        <v>989</v>
      </c>
      <c r="BL630" t="s">
        <v>307</v>
      </c>
      <c r="BM630" t="s">
        <v>9286</v>
      </c>
      <c r="BN630" t="s">
        <v>74</v>
      </c>
      <c r="BO630" t="s">
        <v>539</v>
      </c>
      <c r="BP630" t="s">
        <v>74</v>
      </c>
      <c r="BQ630" t="s">
        <v>74</v>
      </c>
      <c r="BR630" t="s">
        <v>97</v>
      </c>
      <c r="BS630" t="s">
        <v>9370</v>
      </c>
      <c r="BT630" t="str">
        <f>HYPERLINK("https%3A%2F%2Fwww.webofscience.com%2Fwos%2Fwoscc%2Ffull-record%2FWOS:000238029800008","View Full Record in Web of Science")</f>
        <v>View Full Record in Web of Science</v>
      </c>
    </row>
    <row r="631" spans="1:72" x14ac:dyDescent="0.15">
      <c r="A631" t="s">
        <v>1269</v>
      </c>
      <c r="B631" t="s">
        <v>9371</v>
      </c>
      <c r="C631" t="s">
        <v>74</v>
      </c>
      <c r="D631" t="s">
        <v>9271</v>
      </c>
      <c r="E631" t="s">
        <v>74</v>
      </c>
      <c r="F631" t="s">
        <v>9372</v>
      </c>
      <c r="G631" t="s">
        <v>74</v>
      </c>
      <c r="H631" t="s">
        <v>74</v>
      </c>
      <c r="I631" t="s">
        <v>9373</v>
      </c>
      <c r="J631" t="s">
        <v>9303</v>
      </c>
      <c r="K631" t="s">
        <v>9246</v>
      </c>
      <c r="L631" t="s">
        <v>74</v>
      </c>
      <c r="M631" t="s">
        <v>77</v>
      </c>
      <c r="N631" t="s">
        <v>495</v>
      </c>
      <c r="O631" t="s">
        <v>9304</v>
      </c>
      <c r="P631" t="s">
        <v>9276</v>
      </c>
      <c r="Q631" t="s">
        <v>9277</v>
      </c>
      <c r="R631" t="s">
        <v>74</v>
      </c>
      <c r="S631" t="s">
        <v>74</v>
      </c>
      <c r="T631" t="s">
        <v>74</v>
      </c>
      <c r="U631" t="s">
        <v>9374</v>
      </c>
      <c r="V631" t="s">
        <v>9375</v>
      </c>
      <c r="W631" t="s">
        <v>9376</v>
      </c>
      <c r="X631" t="s">
        <v>9377</v>
      </c>
      <c r="Y631" t="s">
        <v>9378</v>
      </c>
      <c r="Z631" t="s">
        <v>9379</v>
      </c>
      <c r="AA631" t="s">
        <v>9380</v>
      </c>
      <c r="AB631" t="s">
        <v>9381</v>
      </c>
      <c r="AC631" t="s">
        <v>74</v>
      </c>
      <c r="AD631" t="s">
        <v>74</v>
      </c>
      <c r="AE631" t="s">
        <v>74</v>
      </c>
      <c r="AF631" t="s">
        <v>74</v>
      </c>
      <c r="AG631">
        <v>24</v>
      </c>
      <c r="AH631">
        <v>8</v>
      </c>
      <c r="AI631">
        <v>8</v>
      </c>
      <c r="AJ631">
        <v>2</v>
      </c>
      <c r="AK631">
        <v>9</v>
      </c>
      <c r="AL631" t="s">
        <v>9236</v>
      </c>
      <c r="AM631" t="s">
        <v>1813</v>
      </c>
      <c r="AN631" t="s">
        <v>9237</v>
      </c>
      <c r="AO631" t="s">
        <v>9238</v>
      </c>
      <c r="AP631" t="s">
        <v>74</v>
      </c>
      <c r="AQ631" t="s">
        <v>9284</v>
      </c>
      <c r="AR631" t="s">
        <v>9255</v>
      </c>
      <c r="AS631" t="s">
        <v>74</v>
      </c>
      <c r="AT631" t="s">
        <v>74</v>
      </c>
      <c r="AU631">
        <v>2005</v>
      </c>
      <c r="AV631">
        <v>41</v>
      </c>
      <c r="AW631" t="s">
        <v>74</v>
      </c>
      <c r="AX631" t="s">
        <v>74</v>
      </c>
      <c r="AY631" t="s">
        <v>74</v>
      </c>
      <c r="AZ631" t="s">
        <v>74</v>
      </c>
      <c r="BA631" t="s">
        <v>74</v>
      </c>
      <c r="BB631">
        <v>57</v>
      </c>
      <c r="BC631">
        <v>62</v>
      </c>
      <c r="BD631" t="s">
        <v>74</v>
      </c>
      <c r="BE631" t="s">
        <v>9382</v>
      </c>
      <c r="BF631" t="str">
        <f>HYPERLINK("http://dx.doi.org/10.3189/172756405781813401","http://dx.doi.org/10.3189/172756405781813401")</f>
        <v>http://dx.doi.org/10.3189/172756405781813401</v>
      </c>
      <c r="BG631" t="s">
        <v>74</v>
      </c>
      <c r="BH631" t="s">
        <v>74</v>
      </c>
      <c r="BI631">
        <v>6</v>
      </c>
      <c r="BJ631" t="s">
        <v>537</v>
      </c>
      <c r="BK631" t="s">
        <v>989</v>
      </c>
      <c r="BL631" t="s">
        <v>307</v>
      </c>
      <c r="BM631" t="s">
        <v>9286</v>
      </c>
      <c r="BN631" t="s">
        <v>74</v>
      </c>
      <c r="BO631" t="s">
        <v>539</v>
      </c>
      <c r="BP631" t="s">
        <v>74</v>
      </c>
      <c r="BQ631" t="s">
        <v>74</v>
      </c>
      <c r="BR631" t="s">
        <v>97</v>
      </c>
      <c r="BS631" t="s">
        <v>9383</v>
      </c>
      <c r="BT631" t="str">
        <f>HYPERLINK("https%3A%2F%2Fwww.webofscience.com%2Fwos%2Fwoscc%2Ffull-record%2FWOS:000238029800009","View Full Record in Web of Science")</f>
        <v>View Full Record in Web of Science</v>
      </c>
    </row>
    <row r="632" spans="1:72" x14ac:dyDescent="0.15">
      <c r="A632" t="s">
        <v>1269</v>
      </c>
      <c r="B632" t="s">
        <v>9384</v>
      </c>
      <c r="C632" t="s">
        <v>74</v>
      </c>
      <c r="D632" t="s">
        <v>9271</v>
      </c>
      <c r="E632" t="s">
        <v>74</v>
      </c>
      <c r="F632" t="s">
        <v>9385</v>
      </c>
      <c r="G632" t="s">
        <v>74</v>
      </c>
      <c r="H632" t="s">
        <v>74</v>
      </c>
      <c r="I632" t="s">
        <v>9386</v>
      </c>
      <c r="J632" t="s">
        <v>9274</v>
      </c>
      <c r="K632" t="s">
        <v>9226</v>
      </c>
      <c r="L632" t="s">
        <v>74</v>
      </c>
      <c r="M632" t="s">
        <v>77</v>
      </c>
      <c r="N632" t="s">
        <v>495</v>
      </c>
      <c r="O632" t="s">
        <v>9275</v>
      </c>
      <c r="P632" t="s">
        <v>9276</v>
      </c>
      <c r="Q632" t="s">
        <v>9277</v>
      </c>
      <c r="R632" t="s">
        <v>74</v>
      </c>
      <c r="S632" t="s">
        <v>74</v>
      </c>
      <c r="T632" t="s">
        <v>74</v>
      </c>
      <c r="U632" t="s">
        <v>9387</v>
      </c>
      <c r="V632" t="s">
        <v>9388</v>
      </c>
      <c r="W632" t="s">
        <v>9389</v>
      </c>
      <c r="X632" t="s">
        <v>9390</v>
      </c>
      <c r="Y632" t="s">
        <v>9391</v>
      </c>
      <c r="Z632" t="s">
        <v>9392</v>
      </c>
      <c r="AA632" t="s">
        <v>9393</v>
      </c>
      <c r="AB632" t="s">
        <v>9394</v>
      </c>
      <c r="AC632" t="s">
        <v>74</v>
      </c>
      <c r="AD632" t="s">
        <v>74</v>
      </c>
      <c r="AE632" t="s">
        <v>74</v>
      </c>
      <c r="AF632" t="s">
        <v>74</v>
      </c>
      <c r="AG632">
        <v>32</v>
      </c>
      <c r="AH632">
        <v>17</v>
      </c>
      <c r="AI632">
        <v>20</v>
      </c>
      <c r="AJ632">
        <v>0</v>
      </c>
      <c r="AK632">
        <v>7</v>
      </c>
      <c r="AL632" t="s">
        <v>9236</v>
      </c>
      <c r="AM632" t="s">
        <v>1813</v>
      </c>
      <c r="AN632" t="s">
        <v>9237</v>
      </c>
      <c r="AO632" t="s">
        <v>9238</v>
      </c>
      <c r="AP632" t="s">
        <v>74</v>
      </c>
      <c r="AQ632" t="s">
        <v>9284</v>
      </c>
      <c r="AR632" t="s">
        <v>9240</v>
      </c>
      <c r="AS632" t="s">
        <v>74</v>
      </c>
      <c r="AT632" t="s">
        <v>74</v>
      </c>
      <c r="AU632">
        <v>2005</v>
      </c>
      <c r="AV632">
        <v>41</v>
      </c>
      <c r="AW632" t="s">
        <v>74</v>
      </c>
      <c r="AX632" t="s">
        <v>74</v>
      </c>
      <c r="AY632" t="s">
        <v>74</v>
      </c>
      <c r="AZ632" t="s">
        <v>74</v>
      </c>
      <c r="BA632" t="s">
        <v>74</v>
      </c>
      <c r="BB632">
        <v>63</v>
      </c>
      <c r="BC632">
        <v>70</v>
      </c>
      <c r="BD632" t="s">
        <v>74</v>
      </c>
      <c r="BE632" t="s">
        <v>9395</v>
      </c>
      <c r="BF632" t="str">
        <f>HYPERLINK("http://dx.doi.org/10.3189/172756405781813357","http://dx.doi.org/10.3189/172756405781813357")</f>
        <v>http://dx.doi.org/10.3189/172756405781813357</v>
      </c>
      <c r="BG632" t="s">
        <v>74</v>
      </c>
      <c r="BH632" t="s">
        <v>74</v>
      </c>
      <c r="BI632">
        <v>8</v>
      </c>
      <c r="BJ632" t="s">
        <v>537</v>
      </c>
      <c r="BK632" t="s">
        <v>989</v>
      </c>
      <c r="BL632" t="s">
        <v>307</v>
      </c>
      <c r="BM632" t="s">
        <v>9286</v>
      </c>
      <c r="BN632" t="s">
        <v>74</v>
      </c>
      <c r="BO632" t="s">
        <v>539</v>
      </c>
      <c r="BP632" t="s">
        <v>74</v>
      </c>
      <c r="BQ632" t="s">
        <v>74</v>
      </c>
      <c r="BR632" t="s">
        <v>97</v>
      </c>
      <c r="BS632" t="s">
        <v>9396</v>
      </c>
      <c r="BT632" t="str">
        <f>HYPERLINK("https%3A%2F%2Fwww.webofscience.com%2Fwos%2Fwoscc%2Ffull-record%2FWOS:000238029800010","View Full Record in Web of Science")</f>
        <v>View Full Record in Web of Science</v>
      </c>
    </row>
    <row r="633" spans="1:72" x14ac:dyDescent="0.15">
      <c r="A633" t="s">
        <v>1269</v>
      </c>
      <c r="B633" t="s">
        <v>9397</v>
      </c>
      <c r="C633" t="s">
        <v>74</v>
      </c>
      <c r="D633" t="s">
        <v>9271</v>
      </c>
      <c r="E633" t="s">
        <v>74</v>
      </c>
      <c r="F633" t="s">
        <v>9398</v>
      </c>
      <c r="G633" t="s">
        <v>74</v>
      </c>
      <c r="H633" t="s">
        <v>74</v>
      </c>
      <c r="I633" t="s">
        <v>9399</v>
      </c>
      <c r="J633" t="s">
        <v>9303</v>
      </c>
      <c r="K633" t="s">
        <v>9246</v>
      </c>
      <c r="L633" t="s">
        <v>74</v>
      </c>
      <c r="M633" t="s">
        <v>77</v>
      </c>
      <c r="N633" t="s">
        <v>495</v>
      </c>
      <c r="O633" t="s">
        <v>9304</v>
      </c>
      <c r="P633" t="s">
        <v>9276</v>
      </c>
      <c r="Q633" t="s">
        <v>9277</v>
      </c>
      <c r="R633" t="s">
        <v>74</v>
      </c>
      <c r="S633" t="s">
        <v>74</v>
      </c>
      <c r="T633" t="s">
        <v>74</v>
      </c>
      <c r="U633" t="s">
        <v>9400</v>
      </c>
      <c r="V633" t="s">
        <v>9401</v>
      </c>
      <c r="W633" t="s">
        <v>9280</v>
      </c>
      <c r="X633" t="s">
        <v>9281</v>
      </c>
      <c r="Y633" t="s">
        <v>9402</v>
      </c>
      <c r="Z633" t="s">
        <v>9403</v>
      </c>
      <c r="AA633" t="s">
        <v>9297</v>
      </c>
      <c r="AB633" t="s">
        <v>9404</v>
      </c>
      <c r="AC633" t="s">
        <v>74</v>
      </c>
      <c r="AD633" t="s">
        <v>74</v>
      </c>
      <c r="AE633" t="s">
        <v>74</v>
      </c>
      <c r="AF633" t="s">
        <v>74</v>
      </c>
      <c r="AG633">
        <v>42</v>
      </c>
      <c r="AH633">
        <v>15</v>
      </c>
      <c r="AI633">
        <v>21</v>
      </c>
      <c r="AJ633">
        <v>0</v>
      </c>
      <c r="AK633">
        <v>14</v>
      </c>
      <c r="AL633" t="s">
        <v>9236</v>
      </c>
      <c r="AM633" t="s">
        <v>1813</v>
      </c>
      <c r="AN633" t="s">
        <v>9237</v>
      </c>
      <c r="AO633" t="s">
        <v>9238</v>
      </c>
      <c r="AP633" t="s">
        <v>74</v>
      </c>
      <c r="AQ633" t="s">
        <v>9284</v>
      </c>
      <c r="AR633" t="s">
        <v>9255</v>
      </c>
      <c r="AS633" t="s">
        <v>74</v>
      </c>
      <c r="AT633" t="s">
        <v>74</v>
      </c>
      <c r="AU633">
        <v>2005</v>
      </c>
      <c r="AV633">
        <v>41</v>
      </c>
      <c r="AW633" t="s">
        <v>74</v>
      </c>
      <c r="AX633" t="s">
        <v>74</v>
      </c>
      <c r="AY633" t="s">
        <v>74</v>
      </c>
      <c r="AZ633" t="s">
        <v>74</v>
      </c>
      <c r="BA633" t="s">
        <v>74</v>
      </c>
      <c r="BB633">
        <v>71</v>
      </c>
      <c r="BC633">
        <v>76</v>
      </c>
      <c r="BD633" t="s">
        <v>74</v>
      </c>
      <c r="BE633" t="s">
        <v>9405</v>
      </c>
      <c r="BF633" t="str">
        <f>HYPERLINK("http://dx.doi.org/10.3189/172756405781813393","http://dx.doi.org/10.3189/172756405781813393")</f>
        <v>http://dx.doi.org/10.3189/172756405781813393</v>
      </c>
      <c r="BG633" t="s">
        <v>74</v>
      </c>
      <c r="BH633" t="s">
        <v>74</v>
      </c>
      <c r="BI633">
        <v>6</v>
      </c>
      <c r="BJ633" t="s">
        <v>537</v>
      </c>
      <c r="BK633" t="s">
        <v>989</v>
      </c>
      <c r="BL633" t="s">
        <v>307</v>
      </c>
      <c r="BM633" t="s">
        <v>9286</v>
      </c>
      <c r="BN633" t="s">
        <v>74</v>
      </c>
      <c r="BO633" t="s">
        <v>3093</v>
      </c>
      <c r="BP633" t="s">
        <v>74</v>
      </c>
      <c r="BQ633" t="s">
        <v>74</v>
      </c>
      <c r="BR633" t="s">
        <v>97</v>
      </c>
      <c r="BS633" t="s">
        <v>9406</v>
      </c>
      <c r="BT633" t="str">
        <f>HYPERLINK("https%3A%2F%2Fwww.webofscience.com%2Fwos%2Fwoscc%2Ffull-record%2FWOS:000238029800011","View Full Record in Web of Science")</f>
        <v>View Full Record in Web of Science</v>
      </c>
    </row>
    <row r="634" spans="1:72" x14ac:dyDescent="0.15">
      <c r="A634" t="s">
        <v>1269</v>
      </c>
      <c r="B634" t="s">
        <v>9407</v>
      </c>
      <c r="C634" t="s">
        <v>74</v>
      </c>
      <c r="D634" t="s">
        <v>9271</v>
      </c>
      <c r="E634" t="s">
        <v>74</v>
      </c>
      <c r="F634" t="s">
        <v>9408</v>
      </c>
      <c r="G634" t="s">
        <v>74</v>
      </c>
      <c r="H634" t="s">
        <v>74</v>
      </c>
      <c r="I634" t="s">
        <v>9409</v>
      </c>
      <c r="J634" t="s">
        <v>9274</v>
      </c>
      <c r="K634" t="s">
        <v>9226</v>
      </c>
      <c r="L634" t="s">
        <v>74</v>
      </c>
      <c r="M634" t="s">
        <v>77</v>
      </c>
      <c r="N634" t="s">
        <v>495</v>
      </c>
      <c r="O634" t="s">
        <v>9275</v>
      </c>
      <c r="P634" t="s">
        <v>9276</v>
      </c>
      <c r="Q634" t="s">
        <v>9277</v>
      </c>
      <c r="R634" t="s">
        <v>74</v>
      </c>
      <c r="S634" t="s">
        <v>74</v>
      </c>
      <c r="T634" t="s">
        <v>74</v>
      </c>
      <c r="U634" t="s">
        <v>9410</v>
      </c>
      <c r="V634" t="s">
        <v>9411</v>
      </c>
      <c r="W634" t="s">
        <v>9412</v>
      </c>
      <c r="X634" t="s">
        <v>9413</v>
      </c>
      <c r="Y634" t="s">
        <v>9414</v>
      </c>
      <c r="Z634" t="s">
        <v>9415</v>
      </c>
      <c r="AA634" t="s">
        <v>9416</v>
      </c>
      <c r="AB634" t="s">
        <v>9417</v>
      </c>
      <c r="AC634" t="s">
        <v>74</v>
      </c>
      <c r="AD634" t="s">
        <v>74</v>
      </c>
      <c r="AE634" t="s">
        <v>74</v>
      </c>
      <c r="AF634" t="s">
        <v>74</v>
      </c>
      <c r="AG634">
        <v>53</v>
      </c>
      <c r="AH634">
        <v>40</v>
      </c>
      <c r="AI634">
        <v>50</v>
      </c>
      <c r="AJ634">
        <v>0</v>
      </c>
      <c r="AK634">
        <v>12</v>
      </c>
      <c r="AL634" t="s">
        <v>9236</v>
      </c>
      <c r="AM634" t="s">
        <v>1813</v>
      </c>
      <c r="AN634" t="s">
        <v>9237</v>
      </c>
      <c r="AO634" t="s">
        <v>9238</v>
      </c>
      <c r="AP634" t="s">
        <v>74</v>
      </c>
      <c r="AQ634" t="s">
        <v>9284</v>
      </c>
      <c r="AR634" t="s">
        <v>9240</v>
      </c>
      <c r="AS634" t="s">
        <v>74</v>
      </c>
      <c r="AT634" t="s">
        <v>74</v>
      </c>
      <c r="AU634">
        <v>2005</v>
      </c>
      <c r="AV634">
        <v>41</v>
      </c>
      <c r="AW634" t="s">
        <v>74</v>
      </c>
      <c r="AX634" t="s">
        <v>74</v>
      </c>
      <c r="AY634" t="s">
        <v>74</v>
      </c>
      <c r="AZ634" t="s">
        <v>74</v>
      </c>
      <c r="BA634" t="s">
        <v>74</v>
      </c>
      <c r="BB634">
        <v>77</v>
      </c>
      <c r="BC634">
        <v>84</v>
      </c>
      <c r="BD634" t="s">
        <v>74</v>
      </c>
      <c r="BE634" t="s">
        <v>9418</v>
      </c>
      <c r="BF634" t="str">
        <f>HYPERLINK("http://dx.doi.org/10.3189/172756405781813311","http://dx.doi.org/10.3189/172756405781813311")</f>
        <v>http://dx.doi.org/10.3189/172756405781813311</v>
      </c>
      <c r="BG634" t="s">
        <v>74</v>
      </c>
      <c r="BH634" t="s">
        <v>74</v>
      </c>
      <c r="BI634">
        <v>8</v>
      </c>
      <c r="BJ634" t="s">
        <v>537</v>
      </c>
      <c r="BK634" t="s">
        <v>989</v>
      </c>
      <c r="BL634" t="s">
        <v>307</v>
      </c>
      <c r="BM634" t="s">
        <v>9286</v>
      </c>
      <c r="BN634" t="s">
        <v>74</v>
      </c>
      <c r="BO634" t="s">
        <v>3093</v>
      </c>
      <c r="BP634" t="s">
        <v>74</v>
      </c>
      <c r="BQ634" t="s">
        <v>74</v>
      </c>
      <c r="BR634" t="s">
        <v>97</v>
      </c>
      <c r="BS634" t="s">
        <v>9419</v>
      </c>
      <c r="BT634" t="str">
        <f>HYPERLINK("https%3A%2F%2Fwww.webofscience.com%2Fwos%2Fwoscc%2Ffull-record%2FWOS:000238029800012","View Full Record in Web of Science")</f>
        <v>View Full Record in Web of Science</v>
      </c>
    </row>
    <row r="635" spans="1:72" x14ac:dyDescent="0.15">
      <c r="A635" t="s">
        <v>1269</v>
      </c>
      <c r="B635" t="s">
        <v>9420</v>
      </c>
      <c r="C635" t="s">
        <v>74</v>
      </c>
      <c r="D635" t="s">
        <v>9271</v>
      </c>
      <c r="E635" t="s">
        <v>74</v>
      </c>
      <c r="F635" t="s">
        <v>9421</v>
      </c>
      <c r="G635" t="s">
        <v>74</v>
      </c>
      <c r="H635" t="s">
        <v>74</v>
      </c>
      <c r="I635" t="s">
        <v>9422</v>
      </c>
      <c r="J635" t="s">
        <v>9303</v>
      </c>
      <c r="K635" t="s">
        <v>9246</v>
      </c>
      <c r="L635" t="s">
        <v>74</v>
      </c>
      <c r="M635" t="s">
        <v>77</v>
      </c>
      <c r="N635" t="s">
        <v>495</v>
      </c>
      <c r="O635" t="s">
        <v>9304</v>
      </c>
      <c r="P635" t="s">
        <v>9276</v>
      </c>
      <c r="Q635" t="s">
        <v>9277</v>
      </c>
      <c r="R635" t="s">
        <v>74</v>
      </c>
      <c r="S635" t="s">
        <v>74</v>
      </c>
      <c r="T635" t="s">
        <v>74</v>
      </c>
      <c r="U635" t="s">
        <v>9423</v>
      </c>
      <c r="V635" t="s">
        <v>9424</v>
      </c>
      <c r="W635" t="s">
        <v>670</v>
      </c>
      <c r="X635" t="s">
        <v>671</v>
      </c>
      <c r="Y635" t="s">
        <v>9425</v>
      </c>
      <c r="Z635" t="s">
        <v>9426</v>
      </c>
      <c r="AA635" t="s">
        <v>74</v>
      </c>
      <c r="AB635" t="s">
        <v>9427</v>
      </c>
      <c r="AC635" t="s">
        <v>9428</v>
      </c>
      <c r="AD635" t="s">
        <v>6063</v>
      </c>
      <c r="AE635" t="s">
        <v>74</v>
      </c>
      <c r="AF635" t="s">
        <v>74</v>
      </c>
      <c r="AG635">
        <v>17</v>
      </c>
      <c r="AH635">
        <v>59</v>
      </c>
      <c r="AI635">
        <v>68</v>
      </c>
      <c r="AJ635">
        <v>0</v>
      </c>
      <c r="AK635">
        <v>11</v>
      </c>
      <c r="AL635" t="s">
        <v>9236</v>
      </c>
      <c r="AM635" t="s">
        <v>1813</v>
      </c>
      <c r="AN635" t="s">
        <v>9237</v>
      </c>
      <c r="AO635" t="s">
        <v>9238</v>
      </c>
      <c r="AP635" t="s">
        <v>74</v>
      </c>
      <c r="AQ635" t="s">
        <v>9284</v>
      </c>
      <c r="AR635" t="s">
        <v>9255</v>
      </c>
      <c r="AS635" t="s">
        <v>74</v>
      </c>
      <c r="AT635" t="s">
        <v>74</v>
      </c>
      <c r="AU635">
        <v>2005</v>
      </c>
      <c r="AV635">
        <v>41</v>
      </c>
      <c r="AW635" t="s">
        <v>74</v>
      </c>
      <c r="AX635" t="s">
        <v>74</v>
      </c>
      <c r="AY635" t="s">
        <v>74</v>
      </c>
      <c r="AZ635" t="s">
        <v>74</v>
      </c>
      <c r="BA635" t="s">
        <v>74</v>
      </c>
      <c r="BB635">
        <v>85</v>
      </c>
      <c r="BC635">
        <v>91</v>
      </c>
      <c r="BD635" t="s">
        <v>74</v>
      </c>
      <c r="BE635" t="s">
        <v>9429</v>
      </c>
      <c r="BF635" t="str">
        <f>HYPERLINK("http://dx.doi.org/10.3189/172756405781813177","http://dx.doi.org/10.3189/172756405781813177")</f>
        <v>http://dx.doi.org/10.3189/172756405781813177</v>
      </c>
      <c r="BG635" t="s">
        <v>74</v>
      </c>
      <c r="BH635" t="s">
        <v>74</v>
      </c>
      <c r="BI635">
        <v>7</v>
      </c>
      <c r="BJ635" t="s">
        <v>537</v>
      </c>
      <c r="BK635" t="s">
        <v>989</v>
      </c>
      <c r="BL635" t="s">
        <v>307</v>
      </c>
      <c r="BM635" t="s">
        <v>9286</v>
      </c>
      <c r="BN635" t="s">
        <v>74</v>
      </c>
      <c r="BO635" t="s">
        <v>539</v>
      </c>
      <c r="BP635" t="s">
        <v>74</v>
      </c>
      <c r="BQ635" t="s">
        <v>74</v>
      </c>
      <c r="BR635" t="s">
        <v>97</v>
      </c>
      <c r="BS635" t="s">
        <v>9430</v>
      </c>
      <c r="BT635" t="str">
        <f>HYPERLINK("https%3A%2F%2Fwww.webofscience.com%2Fwos%2Fwoscc%2Ffull-record%2FWOS:000238029800013","View Full Record in Web of Science")</f>
        <v>View Full Record in Web of Science</v>
      </c>
    </row>
    <row r="636" spans="1:72" x14ac:dyDescent="0.15">
      <c r="A636" t="s">
        <v>1269</v>
      </c>
      <c r="B636" t="s">
        <v>9431</v>
      </c>
      <c r="C636" t="s">
        <v>74</v>
      </c>
      <c r="D636" t="s">
        <v>9271</v>
      </c>
      <c r="E636" t="s">
        <v>74</v>
      </c>
      <c r="F636" t="s">
        <v>9432</v>
      </c>
      <c r="G636" t="s">
        <v>74</v>
      </c>
      <c r="H636" t="s">
        <v>74</v>
      </c>
      <c r="I636" t="s">
        <v>9433</v>
      </c>
      <c r="J636" t="s">
        <v>9274</v>
      </c>
      <c r="K636" t="s">
        <v>9226</v>
      </c>
      <c r="L636" t="s">
        <v>74</v>
      </c>
      <c r="M636" t="s">
        <v>77</v>
      </c>
      <c r="N636" t="s">
        <v>495</v>
      </c>
      <c r="O636" t="s">
        <v>9275</v>
      </c>
      <c r="P636" t="s">
        <v>9276</v>
      </c>
      <c r="Q636" t="s">
        <v>9277</v>
      </c>
      <c r="R636" t="s">
        <v>74</v>
      </c>
      <c r="S636" t="s">
        <v>74</v>
      </c>
      <c r="T636" t="s">
        <v>74</v>
      </c>
      <c r="U636" t="s">
        <v>9434</v>
      </c>
      <c r="V636" t="s">
        <v>9435</v>
      </c>
      <c r="W636" t="s">
        <v>9353</v>
      </c>
      <c r="X636" t="s">
        <v>9354</v>
      </c>
      <c r="Y636" t="s">
        <v>9436</v>
      </c>
      <c r="Z636" t="s">
        <v>9437</v>
      </c>
      <c r="AA636" t="s">
        <v>74</v>
      </c>
      <c r="AB636" t="s">
        <v>74</v>
      </c>
      <c r="AC636" t="s">
        <v>74</v>
      </c>
      <c r="AD636" t="s">
        <v>74</v>
      </c>
      <c r="AE636" t="s">
        <v>74</v>
      </c>
      <c r="AF636" t="s">
        <v>74</v>
      </c>
      <c r="AG636">
        <v>13</v>
      </c>
      <c r="AH636">
        <v>14</v>
      </c>
      <c r="AI636">
        <v>17</v>
      </c>
      <c r="AJ636">
        <v>2</v>
      </c>
      <c r="AK636">
        <v>9</v>
      </c>
      <c r="AL636" t="s">
        <v>9236</v>
      </c>
      <c r="AM636" t="s">
        <v>1813</v>
      </c>
      <c r="AN636" t="s">
        <v>9237</v>
      </c>
      <c r="AO636" t="s">
        <v>9238</v>
      </c>
      <c r="AP636" t="s">
        <v>74</v>
      </c>
      <c r="AQ636" t="s">
        <v>9284</v>
      </c>
      <c r="AR636" t="s">
        <v>9240</v>
      </c>
      <c r="AS636" t="s">
        <v>74</v>
      </c>
      <c r="AT636" t="s">
        <v>74</v>
      </c>
      <c r="AU636">
        <v>2005</v>
      </c>
      <c r="AV636">
        <v>41</v>
      </c>
      <c r="AW636" t="s">
        <v>74</v>
      </c>
      <c r="AX636" t="s">
        <v>74</v>
      </c>
      <c r="AY636" t="s">
        <v>74</v>
      </c>
      <c r="AZ636" t="s">
        <v>74</v>
      </c>
      <c r="BA636" t="s">
        <v>74</v>
      </c>
      <c r="BB636">
        <v>92</v>
      </c>
      <c r="BC636">
        <v>96</v>
      </c>
      <c r="BD636" t="s">
        <v>74</v>
      </c>
      <c r="BE636" t="s">
        <v>9438</v>
      </c>
      <c r="BF636" t="str">
        <f>HYPERLINK("http://dx.doi.org/10.3189/172756405781813258","http://dx.doi.org/10.3189/172756405781813258")</f>
        <v>http://dx.doi.org/10.3189/172756405781813258</v>
      </c>
      <c r="BG636" t="s">
        <v>74</v>
      </c>
      <c r="BH636" t="s">
        <v>74</v>
      </c>
      <c r="BI636">
        <v>5</v>
      </c>
      <c r="BJ636" t="s">
        <v>537</v>
      </c>
      <c r="BK636" t="s">
        <v>989</v>
      </c>
      <c r="BL636" t="s">
        <v>307</v>
      </c>
      <c r="BM636" t="s">
        <v>9286</v>
      </c>
      <c r="BN636" t="s">
        <v>74</v>
      </c>
      <c r="BO636" t="s">
        <v>539</v>
      </c>
      <c r="BP636" t="s">
        <v>74</v>
      </c>
      <c r="BQ636" t="s">
        <v>74</v>
      </c>
      <c r="BR636" t="s">
        <v>97</v>
      </c>
      <c r="BS636" t="s">
        <v>9439</v>
      </c>
      <c r="BT636" t="str">
        <f>HYPERLINK("https%3A%2F%2Fwww.webofscience.com%2Fwos%2Fwoscc%2Ffull-record%2FWOS:000238029800014","View Full Record in Web of Science")</f>
        <v>View Full Record in Web of Science</v>
      </c>
    </row>
    <row r="637" spans="1:72" x14ac:dyDescent="0.15">
      <c r="A637" t="s">
        <v>1269</v>
      </c>
      <c r="B637" t="s">
        <v>9440</v>
      </c>
      <c r="C637" t="s">
        <v>74</v>
      </c>
      <c r="D637" t="s">
        <v>9271</v>
      </c>
      <c r="E637" t="s">
        <v>74</v>
      </c>
      <c r="F637" t="s">
        <v>9441</v>
      </c>
      <c r="G637" t="s">
        <v>74</v>
      </c>
      <c r="H637" t="s">
        <v>74</v>
      </c>
      <c r="I637" t="s">
        <v>9442</v>
      </c>
      <c r="J637" t="s">
        <v>9303</v>
      </c>
      <c r="K637" t="s">
        <v>9246</v>
      </c>
      <c r="L637" t="s">
        <v>74</v>
      </c>
      <c r="M637" t="s">
        <v>77</v>
      </c>
      <c r="N637" t="s">
        <v>495</v>
      </c>
      <c r="O637" t="s">
        <v>9304</v>
      </c>
      <c r="P637" t="s">
        <v>9276</v>
      </c>
      <c r="Q637" t="s">
        <v>9277</v>
      </c>
      <c r="R637" t="s">
        <v>74</v>
      </c>
      <c r="S637" t="s">
        <v>74</v>
      </c>
      <c r="T637" t="s">
        <v>74</v>
      </c>
      <c r="U637" t="s">
        <v>9443</v>
      </c>
      <c r="V637" t="s">
        <v>9444</v>
      </c>
      <c r="W637" t="s">
        <v>9445</v>
      </c>
      <c r="X637" t="s">
        <v>5320</v>
      </c>
      <c r="Y637" t="s">
        <v>9446</v>
      </c>
      <c r="Z637" t="s">
        <v>9447</v>
      </c>
      <c r="AA637" t="s">
        <v>9448</v>
      </c>
      <c r="AB637" t="s">
        <v>9449</v>
      </c>
      <c r="AC637" t="s">
        <v>74</v>
      </c>
      <c r="AD637" t="s">
        <v>74</v>
      </c>
      <c r="AE637" t="s">
        <v>74</v>
      </c>
      <c r="AF637" t="s">
        <v>74</v>
      </c>
      <c r="AG637">
        <v>36</v>
      </c>
      <c r="AH637">
        <v>70</v>
      </c>
      <c r="AI637">
        <v>76</v>
      </c>
      <c r="AJ637">
        <v>1</v>
      </c>
      <c r="AK637">
        <v>14</v>
      </c>
      <c r="AL637" t="s">
        <v>9236</v>
      </c>
      <c r="AM637" t="s">
        <v>1813</v>
      </c>
      <c r="AN637" t="s">
        <v>9237</v>
      </c>
      <c r="AO637" t="s">
        <v>9238</v>
      </c>
      <c r="AP637" t="s">
        <v>74</v>
      </c>
      <c r="AQ637" t="s">
        <v>9284</v>
      </c>
      <c r="AR637" t="s">
        <v>9255</v>
      </c>
      <c r="AS637" t="s">
        <v>74</v>
      </c>
      <c r="AT637" t="s">
        <v>74</v>
      </c>
      <c r="AU637">
        <v>2005</v>
      </c>
      <c r="AV637">
        <v>41</v>
      </c>
      <c r="AW637" t="s">
        <v>74</v>
      </c>
      <c r="AX637" t="s">
        <v>74</v>
      </c>
      <c r="AY637" t="s">
        <v>74</v>
      </c>
      <c r="AZ637" t="s">
        <v>74</v>
      </c>
      <c r="BA637" t="s">
        <v>74</v>
      </c>
      <c r="BB637">
        <v>97</v>
      </c>
      <c r="BC637">
        <v>104</v>
      </c>
      <c r="BD637" t="s">
        <v>74</v>
      </c>
      <c r="BE637" t="s">
        <v>9450</v>
      </c>
      <c r="BF637" t="str">
        <f>HYPERLINK("http://dx.doi.org/10.3189/172756405781813302","http://dx.doi.org/10.3189/172756405781813302")</f>
        <v>http://dx.doi.org/10.3189/172756405781813302</v>
      </c>
      <c r="BG637" t="s">
        <v>74</v>
      </c>
      <c r="BH637" t="s">
        <v>74</v>
      </c>
      <c r="BI637">
        <v>8</v>
      </c>
      <c r="BJ637" t="s">
        <v>537</v>
      </c>
      <c r="BK637" t="s">
        <v>989</v>
      </c>
      <c r="BL637" t="s">
        <v>307</v>
      </c>
      <c r="BM637" t="s">
        <v>9286</v>
      </c>
      <c r="BN637" t="s">
        <v>74</v>
      </c>
      <c r="BO637" t="s">
        <v>3093</v>
      </c>
      <c r="BP637" t="s">
        <v>74</v>
      </c>
      <c r="BQ637" t="s">
        <v>74</v>
      </c>
      <c r="BR637" t="s">
        <v>97</v>
      </c>
      <c r="BS637" t="s">
        <v>9451</v>
      </c>
      <c r="BT637" t="str">
        <f>HYPERLINK("https%3A%2F%2Fwww.webofscience.com%2Fwos%2Fwoscc%2Ffull-record%2FWOS:000238029800015","View Full Record in Web of Science")</f>
        <v>View Full Record in Web of Science</v>
      </c>
    </row>
    <row r="638" spans="1:72" x14ac:dyDescent="0.15">
      <c r="A638" t="s">
        <v>1269</v>
      </c>
      <c r="B638" t="s">
        <v>9452</v>
      </c>
      <c r="C638" t="s">
        <v>74</v>
      </c>
      <c r="D638" t="s">
        <v>9271</v>
      </c>
      <c r="E638" t="s">
        <v>74</v>
      </c>
      <c r="F638" t="s">
        <v>9453</v>
      </c>
      <c r="G638" t="s">
        <v>74</v>
      </c>
      <c r="H638" t="s">
        <v>74</v>
      </c>
      <c r="I638" t="s">
        <v>9454</v>
      </c>
      <c r="J638" t="s">
        <v>9274</v>
      </c>
      <c r="K638" t="s">
        <v>9226</v>
      </c>
      <c r="L638" t="s">
        <v>74</v>
      </c>
      <c r="M638" t="s">
        <v>77</v>
      </c>
      <c r="N638" t="s">
        <v>495</v>
      </c>
      <c r="O638" t="s">
        <v>9275</v>
      </c>
      <c r="P638" t="s">
        <v>9276</v>
      </c>
      <c r="Q638" t="s">
        <v>9277</v>
      </c>
      <c r="R638" t="s">
        <v>74</v>
      </c>
      <c r="S638" t="s">
        <v>74</v>
      </c>
      <c r="T638" t="s">
        <v>74</v>
      </c>
      <c r="U638" t="s">
        <v>9455</v>
      </c>
      <c r="V638" t="s">
        <v>9456</v>
      </c>
      <c r="W638" t="s">
        <v>9457</v>
      </c>
      <c r="X638" t="s">
        <v>9458</v>
      </c>
      <c r="Y638" t="s">
        <v>9459</v>
      </c>
      <c r="Z638" t="s">
        <v>9460</v>
      </c>
      <c r="AA638" t="s">
        <v>9297</v>
      </c>
      <c r="AB638" t="s">
        <v>9404</v>
      </c>
      <c r="AC638" t="s">
        <v>74</v>
      </c>
      <c r="AD638" t="s">
        <v>74</v>
      </c>
      <c r="AE638" t="s">
        <v>74</v>
      </c>
      <c r="AF638" t="s">
        <v>74</v>
      </c>
      <c r="AG638">
        <v>26</v>
      </c>
      <c r="AH638">
        <v>5</v>
      </c>
      <c r="AI638">
        <v>6</v>
      </c>
      <c r="AJ638">
        <v>1</v>
      </c>
      <c r="AK638">
        <v>6</v>
      </c>
      <c r="AL638" t="s">
        <v>9236</v>
      </c>
      <c r="AM638" t="s">
        <v>1813</v>
      </c>
      <c r="AN638" t="s">
        <v>9237</v>
      </c>
      <c r="AO638" t="s">
        <v>9238</v>
      </c>
      <c r="AP638" t="s">
        <v>74</v>
      </c>
      <c r="AQ638" t="s">
        <v>9284</v>
      </c>
      <c r="AR638" t="s">
        <v>9240</v>
      </c>
      <c r="AS638" t="s">
        <v>74</v>
      </c>
      <c r="AT638" t="s">
        <v>74</v>
      </c>
      <c r="AU638">
        <v>2005</v>
      </c>
      <c r="AV638">
        <v>41</v>
      </c>
      <c r="AW638" t="s">
        <v>74</v>
      </c>
      <c r="AX638" t="s">
        <v>74</v>
      </c>
      <c r="AY638" t="s">
        <v>74</v>
      </c>
      <c r="AZ638" t="s">
        <v>74</v>
      </c>
      <c r="BA638" t="s">
        <v>74</v>
      </c>
      <c r="BB638">
        <v>105</v>
      </c>
      <c r="BC638">
        <v>110</v>
      </c>
      <c r="BD638" t="s">
        <v>74</v>
      </c>
      <c r="BE638" t="s">
        <v>9461</v>
      </c>
      <c r="BF638" t="str">
        <f>HYPERLINK("http://dx.doi.org/10.3189/172756405781813195","http://dx.doi.org/10.3189/172756405781813195")</f>
        <v>http://dx.doi.org/10.3189/172756405781813195</v>
      </c>
      <c r="BG638" t="s">
        <v>74</v>
      </c>
      <c r="BH638" t="s">
        <v>74</v>
      </c>
      <c r="BI638">
        <v>6</v>
      </c>
      <c r="BJ638" t="s">
        <v>537</v>
      </c>
      <c r="BK638" t="s">
        <v>989</v>
      </c>
      <c r="BL638" t="s">
        <v>307</v>
      </c>
      <c r="BM638" t="s">
        <v>9286</v>
      </c>
      <c r="BN638" t="s">
        <v>74</v>
      </c>
      <c r="BO638" t="s">
        <v>855</v>
      </c>
      <c r="BP638" t="s">
        <v>74</v>
      </c>
      <c r="BQ638" t="s">
        <v>74</v>
      </c>
      <c r="BR638" t="s">
        <v>97</v>
      </c>
      <c r="BS638" t="s">
        <v>9462</v>
      </c>
      <c r="BT638" t="str">
        <f>HYPERLINK("https%3A%2F%2Fwww.webofscience.com%2Fwos%2Fwoscc%2Ffull-record%2FWOS:000238029800016","View Full Record in Web of Science")</f>
        <v>View Full Record in Web of Science</v>
      </c>
    </row>
    <row r="639" spans="1:72" x14ac:dyDescent="0.15">
      <c r="A639" t="s">
        <v>1269</v>
      </c>
      <c r="B639" t="s">
        <v>9463</v>
      </c>
      <c r="C639" t="s">
        <v>74</v>
      </c>
      <c r="D639" t="s">
        <v>9271</v>
      </c>
      <c r="E639" t="s">
        <v>74</v>
      </c>
      <c r="F639" t="s">
        <v>9464</v>
      </c>
      <c r="G639" t="s">
        <v>74</v>
      </c>
      <c r="H639" t="s">
        <v>74</v>
      </c>
      <c r="I639" t="s">
        <v>9465</v>
      </c>
      <c r="J639" t="s">
        <v>9274</v>
      </c>
      <c r="K639" t="s">
        <v>9226</v>
      </c>
      <c r="L639" t="s">
        <v>74</v>
      </c>
      <c r="M639" t="s">
        <v>77</v>
      </c>
      <c r="N639" t="s">
        <v>495</v>
      </c>
      <c r="O639" t="s">
        <v>9275</v>
      </c>
      <c r="P639" t="s">
        <v>9276</v>
      </c>
      <c r="Q639" t="s">
        <v>9277</v>
      </c>
      <c r="R639" t="s">
        <v>74</v>
      </c>
      <c r="S639" t="s">
        <v>74</v>
      </c>
      <c r="T639" t="s">
        <v>74</v>
      </c>
      <c r="U639" t="s">
        <v>9466</v>
      </c>
      <c r="V639" t="s">
        <v>9467</v>
      </c>
      <c r="W639" t="s">
        <v>9468</v>
      </c>
      <c r="X639" t="s">
        <v>9469</v>
      </c>
      <c r="Y639" t="s">
        <v>9470</v>
      </c>
      <c r="Z639" t="s">
        <v>9471</v>
      </c>
      <c r="AA639" t="s">
        <v>9472</v>
      </c>
      <c r="AB639" t="s">
        <v>9473</v>
      </c>
      <c r="AC639" t="s">
        <v>74</v>
      </c>
      <c r="AD639" t="s">
        <v>74</v>
      </c>
      <c r="AE639" t="s">
        <v>74</v>
      </c>
      <c r="AF639" t="s">
        <v>74</v>
      </c>
      <c r="AG639">
        <v>42</v>
      </c>
      <c r="AH639">
        <v>3</v>
      </c>
      <c r="AI639">
        <v>3</v>
      </c>
      <c r="AJ639">
        <v>0</v>
      </c>
      <c r="AK639">
        <v>4</v>
      </c>
      <c r="AL639" t="s">
        <v>9236</v>
      </c>
      <c r="AM639" t="s">
        <v>1813</v>
      </c>
      <c r="AN639" t="s">
        <v>9237</v>
      </c>
      <c r="AO639" t="s">
        <v>9238</v>
      </c>
      <c r="AP639" t="s">
        <v>74</v>
      </c>
      <c r="AQ639" t="s">
        <v>9284</v>
      </c>
      <c r="AR639" t="s">
        <v>9240</v>
      </c>
      <c r="AS639" t="s">
        <v>74</v>
      </c>
      <c r="AT639" t="s">
        <v>74</v>
      </c>
      <c r="AU639">
        <v>2005</v>
      </c>
      <c r="AV639">
        <v>41</v>
      </c>
      <c r="AW639" t="s">
        <v>74</v>
      </c>
      <c r="AX639" t="s">
        <v>74</v>
      </c>
      <c r="AY639" t="s">
        <v>74</v>
      </c>
      <c r="AZ639" t="s">
        <v>74</v>
      </c>
      <c r="BA639" t="s">
        <v>74</v>
      </c>
      <c r="BB639">
        <v>111</v>
      </c>
      <c r="BC639">
        <v>120</v>
      </c>
      <c r="BD639" t="s">
        <v>74</v>
      </c>
      <c r="BE639" t="s">
        <v>9474</v>
      </c>
      <c r="BF639" t="str">
        <f>HYPERLINK("http://dx.doi.org/10.3189/172756405781813186","http://dx.doi.org/10.3189/172756405781813186")</f>
        <v>http://dx.doi.org/10.3189/172756405781813186</v>
      </c>
      <c r="BG639" t="s">
        <v>74</v>
      </c>
      <c r="BH639" t="s">
        <v>74</v>
      </c>
      <c r="BI639">
        <v>10</v>
      </c>
      <c r="BJ639" t="s">
        <v>537</v>
      </c>
      <c r="BK639" t="s">
        <v>989</v>
      </c>
      <c r="BL639" t="s">
        <v>307</v>
      </c>
      <c r="BM639" t="s">
        <v>9286</v>
      </c>
      <c r="BN639" t="s">
        <v>74</v>
      </c>
      <c r="BO639" t="s">
        <v>855</v>
      </c>
      <c r="BP639" t="s">
        <v>74</v>
      </c>
      <c r="BQ639" t="s">
        <v>74</v>
      </c>
      <c r="BR639" t="s">
        <v>97</v>
      </c>
      <c r="BS639" t="s">
        <v>9475</v>
      </c>
      <c r="BT639" t="str">
        <f>HYPERLINK("https%3A%2F%2Fwww.webofscience.com%2Fwos%2Fwoscc%2Ffull-record%2FWOS:000238029800017","View Full Record in Web of Science")</f>
        <v>View Full Record in Web of Science</v>
      </c>
    </row>
    <row r="640" spans="1:72" x14ac:dyDescent="0.15">
      <c r="A640" t="s">
        <v>1269</v>
      </c>
      <c r="B640" t="s">
        <v>9476</v>
      </c>
      <c r="C640" t="s">
        <v>74</v>
      </c>
      <c r="D640" t="s">
        <v>9271</v>
      </c>
      <c r="E640" t="s">
        <v>74</v>
      </c>
      <c r="F640" t="s">
        <v>9477</v>
      </c>
      <c r="G640" t="s">
        <v>74</v>
      </c>
      <c r="H640" t="s">
        <v>74</v>
      </c>
      <c r="I640" t="s">
        <v>9478</v>
      </c>
      <c r="J640" t="s">
        <v>9303</v>
      </c>
      <c r="K640" t="s">
        <v>9246</v>
      </c>
      <c r="L640" t="s">
        <v>74</v>
      </c>
      <c r="M640" t="s">
        <v>77</v>
      </c>
      <c r="N640" t="s">
        <v>495</v>
      </c>
      <c r="O640" t="s">
        <v>9304</v>
      </c>
      <c r="P640" t="s">
        <v>9276</v>
      </c>
      <c r="Q640" t="s">
        <v>9277</v>
      </c>
      <c r="R640" t="s">
        <v>74</v>
      </c>
      <c r="S640" t="s">
        <v>74</v>
      </c>
      <c r="T640" t="s">
        <v>74</v>
      </c>
      <c r="U640" t="s">
        <v>9479</v>
      </c>
      <c r="V640" t="s">
        <v>9480</v>
      </c>
      <c r="W640" t="s">
        <v>9481</v>
      </c>
      <c r="X640" t="s">
        <v>9482</v>
      </c>
      <c r="Y640" t="s">
        <v>9483</v>
      </c>
      <c r="Z640" t="s">
        <v>9484</v>
      </c>
      <c r="AA640" t="s">
        <v>9485</v>
      </c>
      <c r="AB640" t="s">
        <v>9486</v>
      </c>
      <c r="AC640" t="s">
        <v>74</v>
      </c>
      <c r="AD640" t="s">
        <v>74</v>
      </c>
      <c r="AE640" t="s">
        <v>74</v>
      </c>
      <c r="AF640" t="s">
        <v>74</v>
      </c>
      <c r="AG640">
        <v>63</v>
      </c>
      <c r="AH640">
        <v>19</v>
      </c>
      <c r="AI640">
        <v>25</v>
      </c>
      <c r="AJ640">
        <v>0</v>
      </c>
      <c r="AK640">
        <v>8</v>
      </c>
      <c r="AL640" t="s">
        <v>9236</v>
      </c>
      <c r="AM640" t="s">
        <v>1813</v>
      </c>
      <c r="AN640" t="s">
        <v>9237</v>
      </c>
      <c r="AO640" t="s">
        <v>9238</v>
      </c>
      <c r="AP640" t="s">
        <v>74</v>
      </c>
      <c r="AQ640" t="s">
        <v>9284</v>
      </c>
      <c r="AR640" t="s">
        <v>9255</v>
      </c>
      <c r="AS640" t="s">
        <v>74</v>
      </c>
      <c r="AT640" t="s">
        <v>74</v>
      </c>
      <c r="AU640">
        <v>2005</v>
      </c>
      <c r="AV640">
        <v>41</v>
      </c>
      <c r="AW640" t="s">
        <v>74</v>
      </c>
      <c r="AX640" t="s">
        <v>74</v>
      </c>
      <c r="AY640" t="s">
        <v>74</v>
      </c>
      <c r="AZ640" t="s">
        <v>74</v>
      </c>
      <c r="BA640" t="s">
        <v>74</v>
      </c>
      <c r="BB640">
        <v>121</v>
      </c>
      <c r="BC640">
        <v>130</v>
      </c>
      <c r="BD640" t="s">
        <v>74</v>
      </c>
      <c r="BE640" t="s">
        <v>9487</v>
      </c>
      <c r="BF640" t="str">
        <f>HYPERLINK("http://dx.doi.org/10.3189/172756405781813294","http://dx.doi.org/10.3189/172756405781813294")</f>
        <v>http://dx.doi.org/10.3189/172756405781813294</v>
      </c>
      <c r="BG640" t="s">
        <v>74</v>
      </c>
      <c r="BH640" t="s">
        <v>74</v>
      </c>
      <c r="BI640">
        <v>10</v>
      </c>
      <c r="BJ640" t="s">
        <v>537</v>
      </c>
      <c r="BK640" t="s">
        <v>989</v>
      </c>
      <c r="BL640" t="s">
        <v>307</v>
      </c>
      <c r="BM640" t="s">
        <v>9286</v>
      </c>
      <c r="BN640" t="s">
        <v>74</v>
      </c>
      <c r="BO640" t="s">
        <v>855</v>
      </c>
      <c r="BP640" t="s">
        <v>74</v>
      </c>
      <c r="BQ640" t="s">
        <v>74</v>
      </c>
      <c r="BR640" t="s">
        <v>97</v>
      </c>
      <c r="BS640" t="s">
        <v>9488</v>
      </c>
      <c r="BT640" t="str">
        <f>HYPERLINK("https%3A%2F%2Fwww.webofscience.com%2Fwos%2Fwoscc%2Ffull-record%2FWOS:000238029800018","View Full Record in Web of Science")</f>
        <v>View Full Record in Web of Science</v>
      </c>
    </row>
    <row r="641" spans="1:72" x14ac:dyDescent="0.15">
      <c r="A641" t="s">
        <v>1269</v>
      </c>
      <c r="B641" t="s">
        <v>9489</v>
      </c>
      <c r="C641" t="s">
        <v>74</v>
      </c>
      <c r="D641" t="s">
        <v>9271</v>
      </c>
      <c r="E641" t="s">
        <v>74</v>
      </c>
      <c r="F641" t="s">
        <v>9490</v>
      </c>
      <c r="G641" t="s">
        <v>74</v>
      </c>
      <c r="H641" t="s">
        <v>74</v>
      </c>
      <c r="I641" t="s">
        <v>9491</v>
      </c>
      <c r="J641" t="s">
        <v>9303</v>
      </c>
      <c r="K641" t="s">
        <v>9246</v>
      </c>
      <c r="L641" t="s">
        <v>74</v>
      </c>
      <c r="M641" t="s">
        <v>77</v>
      </c>
      <c r="N641" t="s">
        <v>495</v>
      </c>
      <c r="O641" t="s">
        <v>9304</v>
      </c>
      <c r="P641" t="s">
        <v>9276</v>
      </c>
      <c r="Q641" t="s">
        <v>9277</v>
      </c>
      <c r="R641" t="s">
        <v>74</v>
      </c>
      <c r="S641" t="s">
        <v>74</v>
      </c>
      <c r="T641" t="s">
        <v>74</v>
      </c>
      <c r="U641" t="s">
        <v>9492</v>
      </c>
      <c r="V641" t="s">
        <v>9493</v>
      </c>
      <c r="W641" t="s">
        <v>466</v>
      </c>
      <c r="X641" t="s">
        <v>467</v>
      </c>
      <c r="Y641" t="s">
        <v>9494</v>
      </c>
      <c r="Z641" t="s">
        <v>469</v>
      </c>
      <c r="AA641" t="s">
        <v>9495</v>
      </c>
      <c r="AB641" t="s">
        <v>9496</v>
      </c>
      <c r="AC641" t="s">
        <v>74</v>
      </c>
      <c r="AD641" t="s">
        <v>74</v>
      </c>
      <c r="AE641" t="s">
        <v>74</v>
      </c>
      <c r="AF641" t="s">
        <v>74</v>
      </c>
      <c r="AG641">
        <v>27</v>
      </c>
      <c r="AH641">
        <v>70</v>
      </c>
      <c r="AI641">
        <v>73</v>
      </c>
      <c r="AJ641">
        <v>4</v>
      </c>
      <c r="AK641">
        <v>10</v>
      </c>
      <c r="AL641" t="s">
        <v>9236</v>
      </c>
      <c r="AM641" t="s">
        <v>1813</v>
      </c>
      <c r="AN641" t="s">
        <v>9237</v>
      </c>
      <c r="AO641" t="s">
        <v>9238</v>
      </c>
      <c r="AP641" t="s">
        <v>74</v>
      </c>
      <c r="AQ641" t="s">
        <v>9284</v>
      </c>
      <c r="AR641" t="s">
        <v>9255</v>
      </c>
      <c r="AS641" t="s">
        <v>74</v>
      </c>
      <c r="AT641" t="s">
        <v>74</v>
      </c>
      <c r="AU641">
        <v>2005</v>
      </c>
      <c r="AV641">
        <v>41</v>
      </c>
      <c r="AW641" t="s">
        <v>74</v>
      </c>
      <c r="AX641" t="s">
        <v>74</v>
      </c>
      <c r="AY641" t="s">
        <v>74</v>
      </c>
      <c r="AZ641" t="s">
        <v>74</v>
      </c>
      <c r="BA641" t="s">
        <v>74</v>
      </c>
      <c r="BB641">
        <v>131</v>
      </c>
      <c r="BC641">
        <v>139</v>
      </c>
      <c r="BD641" t="s">
        <v>74</v>
      </c>
      <c r="BE641" t="s">
        <v>9497</v>
      </c>
      <c r="BF641" t="str">
        <f>HYPERLINK("http://dx.doi.org/10.3189/172756405781813168","http://dx.doi.org/10.3189/172756405781813168")</f>
        <v>http://dx.doi.org/10.3189/172756405781813168</v>
      </c>
      <c r="BG641" t="s">
        <v>74</v>
      </c>
      <c r="BH641" t="s">
        <v>74</v>
      </c>
      <c r="BI641">
        <v>9</v>
      </c>
      <c r="BJ641" t="s">
        <v>537</v>
      </c>
      <c r="BK641" t="s">
        <v>989</v>
      </c>
      <c r="BL641" t="s">
        <v>307</v>
      </c>
      <c r="BM641" t="s">
        <v>9286</v>
      </c>
      <c r="BN641" t="s">
        <v>74</v>
      </c>
      <c r="BO641" t="s">
        <v>539</v>
      </c>
      <c r="BP641" t="s">
        <v>74</v>
      </c>
      <c r="BQ641" t="s">
        <v>74</v>
      </c>
      <c r="BR641" t="s">
        <v>97</v>
      </c>
      <c r="BS641" t="s">
        <v>9498</v>
      </c>
      <c r="BT641" t="str">
        <f>HYPERLINK("https%3A%2F%2Fwww.webofscience.com%2Fwos%2Fwoscc%2Ffull-record%2FWOS:000238029800019","View Full Record in Web of Science")</f>
        <v>View Full Record in Web of Science</v>
      </c>
    </row>
    <row r="642" spans="1:72" x14ac:dyDescent="0.15">
      <c r="A642" t="s">
        <v>1269</v>
      </c>
      <c r="B642" t="s">
        <v>9499</v>
      </c>
      <c r="C642" t="s">
        <v>74</v>
      </c>
      <c r="D642" t="s">
        <v>9271</v>
      </c>
      <c r="E642" t="s">
        <v>74</v>
      </c>
      <c r="F642" t="s">
        <v>9500</v>
      </c>
      <c r="G642" t="s">
        <v>74</v>
      </c>
      <c r="H642" t="s">
        <v>74</v>
      </c>
      <c r="I642" t="s">
        <v>9501</v>
      </c>
      <c r="J642" t="s">
        <v>9274</v>
      </c>
      <c r="K642" t="s">
        <v>9226</v>
      </c>
      <c r="L642" t="s">
        <v>74</v>
      </c>
      <c r="M642" t="s">
        <v>77</v>
      </c>
      <c r="N642" t="s">
        <v>495</v>
      </c>
      <c r="O642" t="s">
        <v>9275</v>
      </c>
      <c r="P642" t="s">
        <v>9276</v>
      </c>
      <c r="Q642" t="s">
        <v>9277</v>
      </c>
      <c r="R642" t="s">
        <v>74</v>
      </c>
      <c r="S642" t="s">
        <v>74</v>
      </c>
      <c r="T642" t="s">
        <v>74</v>
      </c>
      <c r="U642" t="s">
        <v>9502</v>
      </c>
      <c r="V642" t="s">
        <v>9503</v>
      </c>
      <c r="W642" t="s">
        <v>9504</v>
      </c>
      <c r="X642" t="s">
        <v>9505</v>
      </c>
      <c r="Y642" t="s">
        <v>9506</v>
      </c>
      <c r="Z642" t="s">
        <v>9507</v>
      </c>
      <c r="AA642" t="s">
        <v>9508</v>
      </c>
      <c r="AB642" t="s">
        <v>9368</v>
      </c>
      <c r="AC642" t="s">
        <v>74</v>
      </c>
      <c r="AD642" t="s">
        <v>74</v>
      </c>
      <c r="AE642" t="s">
        <v>74</v>
      </c>
      <c r="AF642" t="s">
        <v>74</v>
      </c>
      <c r="AG642">
        <v>40</v>
      </c>
      <c r="AH642">
        <v>7</v>
      </c>
      <c r="AI642">
        <v>10</v>
      </c>
      <c r="AJ642">
        <v>0</v>
      </c>
      <c r="AK642">
        <v>10</v>
      </c>
      <c r="AL642" t="s">
        <v>9236</v>
      </c>
      <c r="AM642" t="s">
        <v>1813</v>
      </c>
      <c r="AN642" t="s">
        <v>9237</v>
      </c>
      <c r="AO642" t="s">
        <v>9238</v>
      </c>
      <c r="AP642" t="s">
        <v>74</v>
      </c>
      <c r="AQ642" t="s">
        <v>9284</v>
      </c>
      <c r="AR642" t="s">
        <v>9240</v>
      </c>
      <c r="AS642" t="s">
        <v>74</v>
      </c>
      <c r="AT642" t="s">
        <v>74</v>
      </c>
      <c r="AU642">
        <v>2005</v>
      </c>
      <c r="AV642">
        <v>41</v>
      </c>
      <c r="AW642" t="s">
        <v>74</v>
      </c>
      <c r="AX642" t="s">
        <v>74</v>
      </c>
      <c r="AY642" t="s">
        <v>74</v>
      </c>
      <c r="AZ642" t="s">
        <v>74</v>
      </c>
      <c r="BA642" t="s">
        <v>74</v>
      </c>
      <c r="BB642">
        <v>140</v>
      </c>
      <c r="BC642">
        <v>146</v>
      </c>
      <c r="BD642" t="s">
        <v>74</v>
      </c>
      <c r="BE642" t="s">
        <v>9509</v>
      </c>
      <c r="BF642" t="str">
        <f>HYPERLINK("http://dx.doi.org/10.3189/172756405781813339","http://dx.doi.org/10.3189/172756405781813339")</f>
        <v>http://dx.doi.org/10.3189/172756405781813339</v>
      </c>
      <c r="BG642" t="s">
        <v>74</v>
      </c>
      <c r="BH642" t="s">
        <v>74</v>
      </c>
      <c r="BI642">
        <v>7</v>
      </c>
      <c r="BJ642" t="s">
        <v>537</v>
      </c>
      <c r="BK642" t="s">
        <v>989</v>
      </c>
      <c r="BL642" t="s">
        <v>307</v>
      </c>
      <c r="BM642" t="s">
        <v>9286</v>
      </c>
      <c r="BN642" t="s">
        <v>74</v>
      </c>
      <c r="BO642" t="s">
        <v>539</v>
      </c>
      <c r="BP642" t="s">
        <v>74</v>
      </c>
      <c r="BQ642" t="s">
        <v>74</v>
      </c>
      <c r="BR642" t="s">
        <v>97</v>
      </c>
      <c r="BS642" t="s">
        <v>9510</v>
      </c>
      <c r="BT642" t="str">
        <f>HYPERLINK("https%3A%2F%2Fwww.webofscience.com%2Fwos%2Fwoscc%2Ffull-record%2FWOS:000238029800020","View Full Record in Web of Science")</f>
        <v>View Full Record in Web of Science</v>
      </c>
    </row>
    <row r="643" spans="1:72" x14ac:dyDescent="0.15">
      <c r="A643" t="s">
        <v>1269</v>
      </c>
      <c r="B643" t="s">
        <v>9511</v>
      </c>
      <c r="C643" t="s">
        <v>74</v>
      </c>
      <c r="D643" t="s">
        <v>9271</v>
      </c>
      <c r="E643" t="s">
        <v>74</v>
      </c>
      <c r="F643" t="s">
        <v>9512</v>
      </c>
      <c r="G643" t="s">
        <v>74</v>
      </c>
      <c r="H643" t="s">
        <v>74</v>
      </c>
      <c r="I643" t="s">
        <v>9513</v>
      </c>
      <c r="J643" t="s">
        <v>9303</v>
      </c>
      <c r="K643" t="s">
        <v>9246</v>
      </c>
      <c r="L643" t="s">
        <v>74</v>
      </c>
      <c r="M643" t="s">
        <v>77</v>
      </c>
      <c r="N643" t="s">
        <v>495</v>
      </c>
      <c r="O643" t="s">
        <v>9304</v>
      </c>
      <c r="P643" t="s">
        <v>9276</v>
      </c>
      <c r="Q643" t="s">
        <v>9277</v>
      </c>
      <c r="R643" t="s">
        <v>74</v>
      </c>
      <c r="S643" t="s">
        <v>74</v>
      </c>
      <c r="T643" t="s">
        <v>74</v>
      </c>
      <c r="U643" t="s">
        <v>9514</v>
      </c>
      <c r="V643" t="s">
        <v>9515</v>
      </c>
      <c r="W643" t="s">
        <v>9516</v>
      </c>
      <c r="X643" t="s">
        <v>9517</v>
      </c>
      <c r="Y643" t="s">
        <v>9518</v>
      </c>
      <c r="Z643" t="s">
        <v>9519</v>
      </c>
      <c r="AA643" t="s">
        <v>9520</v>
      </c>
      <c r="AB643" t="s">
        <v>9521</v>
      </c>
      <c r="AC643" t="s">
        <v>74</v>
      </c>
      <c r="AD643" t="s">
        <v>74</v>
      </c>
      <c r="AE643" t="s">
        <v>74</v>
      </c>
      <c r="AF643" t="s">
        <v>74</v>
      </c>
      <c r="AG643">
        <v>41</v>
      </c>
      <c r="AH643">
        <v>22</v>
      </c>
      <c r="AI643">
        <v>28</v>
      </c>
      <c r="AJ643">
        <v>0</v>
      </c>
      <c r="AK643">
        <v>8</v>
      </c>
      <c r="AL643" t="s">
        <v>9236</v>
      </c>
      <c r="AM643" t="s">
        <v>1813</v>
      </c>
      <c r="AN643" t="s">
        <v>9237</v>
      </c>
      <c r="AO643" t="s">
        <v>9238</v>
      </c>
      <c r="AP643" t="s">
        <v>74</v>
      </c>
      <c r="AQ643" t="s">
        <v>9284</v>
      </c>
      <c r="AR643" t="s">
        <v>9255</v>
      </c>
      <c r="AS643" t="s">
        <v>74</v>
      </c>
      <c r="AT643" t="s">
        <v>74</v>
      </c>
      <c r="AU643">
        <v>2005</v>
      </c>
      <c r="AV643">
        <v>41</v>
      </c>
      <c r="AW643" t="s">
        <v>74</v>
      </c>
      <c r="AX643" t="s">
        <v>74</v>
      </c>
      <c r="AY643" t="s">
        <v>74</v>
      </c>
      <c r="AZ643" t="s">
        <v>74</v>
      </c>
      <c r="BA643" t="s">
        <v>74</v>
      </c>
      <c r="BB643">
        <v>147</v>
      </c>
      <c r="BC643">
        <v>154</v>
      </c>
      <c r="BD643" t="s">
        <v>74</v>
      </c>
      <c r="BE643" t="s">
        <v>9522</v>
      </c>
      <c r="BF643" t="str">
        <f>HYPERLINK("http://dx.doi.org/10.3189/172756405781813375","http://dx.doi.org/10.3189/172756405781813375")</f>
        <v>http://dx.doi.org/10.3189/172756405781813375</v>
      </c>
      <c r="BG643" t="s">
        <v>74</v>
      </c>
      <c r="BH643" t="s">
        <v>74</v>
      </c>
      <c r="BI643">
        <v>8</v>
      </c>
      <c r="BJ643" t="s">
        <v>537</v>
      </c>
      <c r="BK643" t="s">
        <v>989</v>
      </c>
      <c r="BL643" t="s">
        <v>307</v>
      </c>
      <c r="BM643" t="s">
        <v>9286</v>
      </c>
      <c r="BN643" t="s">
        <v>74</v>
      </c>
      <c r="BO643" t="s">
        <v>855</v>
      </c>
      <c r="BP643" t="s">
        <v>74</v>
      </c>
      <c r="BQ643" t="s">
        <v>74</v>
      </c>
      <c r="BR643" t="s">
        <v>97</v>
      </c>
      <c r="BS643" t="s">
        <v>9523</v>
      </c>
      <c r="BT643" t="str">
        <f>HYPERLINK("https%3A%2F%2Fwww.webofscience.com%2Fwos%2Fwoscc%2Ffull-record%2FWOS:000238029800021","View Full Record in Web of Science")</f>
        <v>View Full Record in Web of Science</v>
      </c>
    </row>
    <row r="644" spans="1:72" x14ac:dyDescent="0.15">
      <c r="A644" t="s">
        <v>1269</v>
      </c>
      <c r="B644" t="s">
        <v>9524</v>
      </c>
      <c r="C644" t="s">
        <v>74</v>
      </c>
      <c r="D644" t="s">
        <v>9271</v>
      </c>
      <c r="E644" t="s">
        <v>74</v>
      </c>
      <c r="F644" t="s">
        <v>9525</v>
      </c>
      <c r="G644" t="s">
        <v>74</v>
      </c>
      <c r="H644" t="s">
        <v>74</v>
      </c>
      <c r="I644" t="s">
        <v>9526</v>
      </c>
      <c r="J644" t="s">
        <v>9274</v>
      </c>
      <c r="K644" t="s">
        <v>9226</v>
      </c>
      <c r="L644" t="s">
        <v>74</v>
      </c>
      <c r="M644" t="s">
        <v>77</v>
      </c>
      <c r="N644" t="s">
        <v>495</v>
      </c>
      <c r="O644" t="s">
        <v>9275</v>
      </c>
      <c r="P644" t="s">
        <v>9276</v>
      </c>
      <c r="Q644" t="s">
        <v>9277</v>
      </c>
      <c r="R644" t="s">
        <v>74</v>
      </c>
      <c r="S644" t="s">
        <v>74</v>
      </c>
      <c r="T644" t="s">
        <v>74</v>
      </c>
      <c r="U644" t="s">
        <v>9527</v>
      </c>
      <c r="V644" t="s">
        <v>9528</v>
      </c>
      <c r="W644" t="s">
        <v>9529</v>
      </c>
      <c r="X644" t="s">
        <v>9458</v>
      </c>
      <c r="Y644" t="s">
        <v>9530</v>
      </c>
      <c r="Z644" t="s">
        <v>9531</v>
      </c>
      <c r="AA644" t="s">
        <v>9532</v>
      </c>
      <c r="AB644" t="s">
        <v>9533</v>
      </c>
      <c r="AC644" t="s">
        <v>74</v>
      </c>
      <c r="AD644" t="s">
        <v>74</v>
      </c>
      <c r="AE644" t="s">
        <v>74</v>
      </c>
      <c r="AF644" t="s">
        <v>74</v>
      </c>
      <c r="AG644">
        <v>51</v>
      </c>
      <c r="AH644">
        <v>18</v>
      </c>
      <c r="AI644">
        <v>21</v>
      </c>
      <c r="AJ644">
        <v>0</v>
      </c>
      <c r="AK644">
        <v>6</v>
      </c>
      <c r="AL644" t="s">
        <v>9236</v>
      </c>
      <c r="AM644" t="s">
        <v>1813</v>
      </c>
      <c r="AN644" t="s">
        <v>9237</v>
      </c>
      <c r="AO644" t="s">
        <v>9238</v>
      </c>
      <c r="AP644" t="s">
        <v>74</v>
      </c>
      <c r="AQ644" t="s">
        <v>9284</v>
      </c>
      <c r="AR644" t="s">
        <v>9240</v>
      </c>
      <c r="AS644" t="s">
        <v>74</v>
      </c>
      <c r="AT644" t="s">
        <v>74</v>
      </c>
      <c r="AU644">
        <v>2005</v>
      </c>
      <c r="AV644">
        <v>41</v>
      </c>
      <c r="AW644" t="s">
        <v>74</v>
      </c>
      <c r="AX644" t="s">
        <v>74</v>
      </c>
      <c r="AY644" t="s">
        <v>74</v>
      </c>
      <c r="AZ644" t="s">
        <v>74</v>
      </c>
      <c r="BA644" t="s">
        <v>74</v>
      </c>
      <c r="BB644">
        <v>155</v>
      </c>
      <c r="BC644">
        <v>166</v>
      </c>
      <c r="BD644" t="s">
        <v>74</v>
      </c>
      <c r="BE644" t="s">
        <v>9534</v>
      </c>
      <c r="BF644" t="str">
        <f>HYPERLINK("http://dx.doi.org/10.3189/172756405781813366","http://dx.doi.org/10.3189/172756405781813366")</f>
        <v>http://dx.doi.org/10.3189/172756405781813366</v>
      </c>
      <c r="BG644" t="s">
        <v>74</v>
      </c>
      <c r="BH644" t="s">
        <v>74</v>
      </c>
      <c r="BI644">
        <v>12</v>
      </c>
      <c r="BJ644" t="s">
        <v>537</v>
      </c>
      <c r="BK644" t="s">
        <v>989</v>
      </c>
      <c r="BL644" t="s">
        <v>307</v>
      </c>
      <c r="BM644" t="s">
        <v>9286</v>
      </c>
      <c r="BN644" t="s">
        <v>74</v>
      </c>
      <c r="BO644" t="s">
        <v>3093</v>
      </c>
      <c r="BP644" t="s">
        <v>74</v>
      </c>
      <c r="BQ644" t="s">
        <v>74</v>
      </c>
      <c r="BR644" t="s">
        <v>97</v>
      </c>
      <c r="BS644" t="s">
        <v>9535</v>
      </c>
      <c r="BT644" t="str">
        <f>HYPERLINK("https%3A%2F%2Fwww.webofscience.com%2Fwos%2Fwoscc%2Ffull-record%2FWOS:000238029800022","View Full Record in Web of Science")</f>
        <v>View Full Record in Web of Science</v>
      </c>
    </row>
    <row r="645" spans="1:72" x14ac:dyDescent="0.15">
      <c r="A645" t="s">
        <v>1269</v>
      </c>
      <c r="B645" t="s">
        <v>9536</v>
      </c>
      <c r="C645" t="s">
        <v>74</v>
      </c>
      <c r="D645" t="s">
        <v>9271</v>
      </c>
      <c r="E645" t="s">
        <v>74</v>
      </c>
      <c r="F645" t="s">
        <v>9537</v>
      </c>
      <c r="G645" t="s">
        <v>74</v>
      </c>
      <c r="H645" t="s">
        <v>74</v>
      </c>
      <c r="I645" t="s">
        <v>9538</v>
      </c>
      <c r="J645" t="s">
        <v>9303</v>
      </c>
      <c r="K645" t="s">
        <v>9246</v>
      </c>
      <c r="L645" t="s">
        <v>74</v>
      </c>
      <c r="M645" t="s">
        <v>77</v>
      </c>
      <c r="N645" t="s">
        <v>495</v>
      </c>
      <c r="O645" t="s">
        <v>9304</v>
      </c>
      <c r="P645" t="s">
        <v>9276</v>
      </c>
      <c r="Q645" t="s">
        <v>9277</v>
      </c>
      <c r="R645" t="s">
        <v>74</v>
      </c>
      <c r="S645" t="s">
        <v>74</v>
      </c>
      <c r="T645" t="s">
        <v>74</v>
      </c>
      <c r="U645" t="s">
        <v>9539</v>
      </c>
      <c r="V645" t="s">
        <v>9540</v>
      </c>
      <c r="W645" t="s">
        <v>9541</v>
      </c>
      <c r="X645" t="s">
        <v>9542</v>
      </c>
      <c r="Y645" t="s">
        <v>9543</v>
      </c>
      <c r="Z645" t="s">
        <v>9366</v>
      </c>
      <c r="AA645" t="s">
        <v>9544</v>
      </c>
      <c r="AB645" t="s">
        <v>9545</v>
      </c>
      <c r="AC645" t="s">
        <v>9546</v>
      </c>
      <c r="AD645" t="s">
        <v>6063</v>
      </c>
      <c r="AE645" t="s">
        <v>74</v>
      </c>
      <c r="AF645" t="s">
        <v>74</v>
      </c>
      <c r="AG645">
        <v>74</v>
      </c>
      <c r="AH645">
        <v>76</v>
      </c>
      <c r="AI645">
        <v>94</v>
      </c>
      <c r="AJ645">
        <v>1</v>
      </c>
      <c r="AK645">
        <v>33</v>
      </c>
      <c r="AL645" t="s">
        <v>9236</v>
      </c>
      <c r="AM645" t="s">
        <v>1813</v>
      </c>
      <c r="AN645" t="s">
        <v>9237</v>
      </c>
      <c r="AO645" t="s">
        <v>9238</v>
      </c>
      <c r="AP645" t="s">
        <v>74</v>
      </c>
      <c r="AQ645" t="s">
        <v>9284</v>
      </c>
      <c r="AR645" t="s">
        <v>9255</v>
      </c>
      <c r="AS645" t="s">
        <v>74</v>
      </c>
      <c r="AT645" t="s">
        <v>74</v>
      </c>
      <c r="AU645">
        <v>2005</v>
      </c>
      <c r="AV645">
        <v>41</v>
      </c>
      <c r="AW645" t="s">
        <v>74</v>
      </c>
      <c r="AX645" t="s">
        <v>74</v>
      </c>
      <c r="AY645" t="s">
        <v>74</v>
      </c>
      <c r="AZ645" t="s">
        <v>74</v>
      </c>
      <c r="BA645" t="s">
        <v>74</v>
      </c>
      <c r="BB645">
        <v>167</v>
      </c>
      <c r="BC645">
        <v>179</v>
      </c>
      <c r="BD645" t="s">
        <v>74</v>
      </c>
      <c r="BE645" t="s">
        <v>9547</v>
      </c>
      <c r="BF645" t="str">
        <f>HYPERLINK("http://dx.doi.org/10.3189/172756405781813320","http://dx.doi.org/10.3189/172756405781813320")</f>
        <v>http://dx.doi.org/10.3189/172756405781813320</v>
      </c>
      <c r="BG645" t="s">
        <v>74</v>
      </c>
      <c r="BH645" t="s">
        <v>74</v>
      </c>
      <c r="BI645">
        <v>13</v>
      </c>
      <c r="BJ645" t="s">
        <v>537</v>
      </c>
      <c r="BK645" t="s">
        <v>989</v>
      </c>
      <c r="BL645" t="s">
        <v>307</v>
      </c>
      <c r="BM645" t="s">
        <v>9286</v>
      </c>
      <c r="BN645" t="s">
        <v>74</v>
      </c>
      <c r="BO645" t="s">
        <v>3093</v>
      </c>
      <c r="BP645" t="s">
        <v>74</v>
      </c>
      <c r="BQ645" t="s">
        <v>74</v>
      </c>
      <c r="BR645" t="s">
        <v>97</v>
      </c>
      <c r="BS645" t="s">
        <v>9548</v>
      </c>
      <c r="BT645" t="str">
        <f>HYPERLINK("https%3A%2F%2Fwww.webofscience.com%2Fwos%2Fwoscc%2Ffull-record%2FWOS:000238029800023","View Full Record in Web of Science")</f>
        <v>View Full Record in Web of Science</v>
      </c>
    </row>
    <row r="646" spans="1:72" x14ac:dyDescent="0.15">
      <c r="A646" t="s">
        <v>1269</v>
      </c>
      <c r="B646" t="s">
        <v>9549</v>
      </c>
      <c r="C646" t="s">
        <v>74</v>
      </c>
      <c r="D646" t="s">
        <v>9271</v>
      </c>
      <c r="E646" t="s">
        <v>74</v>
      </c>
      <c r="F646" t="s">
        <v>9550</v>
      </c>
      <c r="G646" t="s">
        <v>74</v>
      </c>
      <c r="H646" t="s">
        <v>9551</v>
      </c>
      <c r="I646" t="s">
        <v>9552</v>
      </c>
      <c r="J646" t="s">
        <v>9303</v>
      </c>
      <c r="K646" t="s">
        <v>9246</v>
      </c>
      <c r="L646" t="s">
        <v>74</v>
      </c>
      <c r="M646" t="s">
        <v>77</v>
      </c>
      <c r="N646" t="s">
        <v>495</v>
      </c>
      <c r="O646" t="s">
        <v>9304</v>
      </c>
      <c r="P646" t="s">
        <v>9276</v>
      </c>
      <c r="Q646" t="s">
        <v>9277</v>
      </c>
      <c r="R646" t="s">
        <v>74</v>
      </c>
      <c r="S646" t="s">
        <v>74</v>
      </c>
      <c r="T646" t="s">
        <v>74</v>
      </c>
      <c r="U646" t="s">
        <v>9553</v>
      </c>
      <c r="V646" t="s">
        <v>9554</v>
      </c>
      <c r="W646" t="s">
        <v>9555</v>
      </c>
      <c r="X646" t="s">
        <v>9556</v>
      </c>
      <c r="Y646" t="s">
        <v>9518</v>
      </c>
      <c r="Z646" t="s">
        <v>9519</v>
      </c>
      <c r="AA646" t="s">
        <v>9557</v>
      </c>
      <c r="AB646" t="s">
        <v>9558</v>
      </c>
      <c r="AC646" t="s">
        <v>9559</v>
      </c>
      <c r="AD646" t="s">
        <v>235</v>
      </c>
      <c r="AE646" t="s">
        <v>74</v>
      </c>
      <c r="AF646" t="s">
        <v>74</v>
      </c>
      <c r="AG646">
        <v>55</v>
      </c>
      <c r="AH646">
        <v>46</v>
      </c>
      <c r="AI646">
        <v>52</v>
      </c>
      <c r="AJ646">
        <v>2</v>
      </c>
      <c r="AK646">
        <v>11</v>
      </c>
      <c r="AL646" t="s">
        <v>9236</v>
      </c>
      <c r="AM646" t="s">
        <v>1813</v>
      </c>
      <c r="AN646" t="s">
        <v>9237</v>
      </c>
      <c r="AO646" t="s">
        <v>9238</v>
      </c>
      <c r="AP646" t="s">
        <v>74</v>
      </c>
      <c r="AQ646" t="s">
        <v>9284</v>
      </c>
      <c r="AR646" t="s">
        <v>9255</v>
      </c>
      <c r="AS646" t="s">
        <v>74</v>
      </c>
      <c r="AT646" t="s">
        <v>74</v>
      </c>
      <c r="AU646">
        <v>2005</v>
      </c>
      <c r="AV646">
        <v>41</v>
      </c>
      <c r="AW646" t="s">
        <v>74</v>
      </c>
      <c r="AX646" t="s">
        <v>74</v>
      </c>
      <c r="AY646" t="s">
        <v>74</v>
      </c>
      <c r="AZ646" t="s">
        <v>74</v>
      </c>
      <c r="BA646" t="s">
        <v>74</v>
      </c>
      <c r="BB646">
        <v>180</v>
      </c>
      <c r="BC646">
        <v>185</v>
      </c>
      <c r="BD646" t="s">
        <v>74</v>
      </c>
      <c r="BE646" t="s">
        <v>9560</v>
      </c>
      <c r="BF646" t="str">
        <f>HYPERLINK("http://dx.doi.org/10.3189/172756405781813159","http://dx.doi.org/10.3189/172756405781813159")</f>
        <v>http://dx.doi.org/10.3189/172756405781813159</v>
      </c>
      <c r="BG646" t="s">
        <v>74</v>
      </c>
      <c r="BH646" t="s">
        <v>74</v>
      </c>
      <c r="BI646">
        <v>6</v>
      </c>
      <c r="BJ646" t="s">
        <v>537</v>
      </c>
      <c r="BK646" t="s">
        <v>989</v>
      </c>
      <c r="BL646" t="s">
        <v>307</v>
      </c>
      <c r="BM646" t="s">
        <v>9286</v>
      </c>
      <c r="BN646" t="s">
        <v>74</v>
      </c>
      <c r="BO646" t="s">
        <v>3093</v>
      </c>
      <c r="BP646" t="s">
        <v>74</v>
      </c>
      <c r="BQ646" t="s">
        <v>74</v>
      </c>
      <c r="BR646" t="s">
        <v>97</v>
      </c>
      <c r="BS646" t="s">
        <v>9561</v>
      </c>
      <c r="BT646" t="str">
        <f>HYPERLINK("https%3A%2F%2Fwww.webofscience.com%2Fwos%2Fwoscc%2Ffull-record%2FWOS:000238029800024","View Full Record in Web of Science")</f>
        <v>View Full Record in Web of Science</v>
      </c>
    </row>
    <row r="647" spans="1:72" x14ac:dyDescent="0.15">
      <c r="A647" t="s">
        <v>1269</v>
      </c>
      <c r="B647" t="s">
        <v>9562</v>
      </c>
      <c r="C647" t="s">
        <v>74</v>
      </c>
      <c r="D647" t="s">
        <v>9563</v>
      </c>
      <c r="E647" t="s">
        <v>74</v>
      </c>
      <c r="F647" t="s">
        <v>9564</v>
      </c>
      <c r="G647" t="s">
        <v>74</v>
      </c>
      <c r="H647" t="s">
        <v>74</v>
      </c>
      <c r="I647" t="s">
        <v>9565</v>
      </c>
      <c r="J647" t="s">
        <v>9566</v>
      </c>
      <c r="K647" t="s">
        <v>9226</v>
      </c>
      <c r="L647" t="s">
        <v>74</v>
      </c>
      <c r="M647" t="s">
        <v>77</v>
      </c>
      <c r="N647" t="s">
        <v>495</v>
      </c>
      <c r="O647" t="s">
        <v>9567</v>
      </c>
      <c r="P647" t="s">
        <v>9568</v>
      </c>
      <c r="Q647" t="s">
        <v>9569</v>
      </c>
      <c r="R647" t="s">
        <v>74</v>
      </c>
      <c r="S647" t="s">
        <v>74</v>
      </c>
      <c r="T647" t="s">
        <v>74</v>
      </c>
      <c r="U647" t="s">
        <v>9570</v>
      </c>
      <c r="V647" t="s">
        <v>9571</v>
      </c>
      <c r="W647" t="s">
        <v>9572</v>
      </c>
      <c r="X647" t="s">
        <v>1173</v>
      </c>
      <c r="Y647" t="s">
        <v>9573</v>
      </c>
      <c r="Z647" t="s">
        <v>9574</v>
      </c>
      <c r="AA647" t="s">
        <v>9575</v>
      </c>
      <c r="AB647" t="s">
        <v>9576</v>
      </c>
      <c r="AC647" t="s">
        <v>74</v>
      </c>
      <c r="AD647" t="s">
        <v>74</v>
      </c>
      <c r="AE647" t="s">
        <v>74</v>
      </c>
      <c r="AF647" t="s">
        <v>74</v>
      </c>
      <c r="AG647">
        <v>39</v>
      </c>
      <c r="AH647">
        <v>46</v>
      </c>
      <c r="AI647">
        <v>50</v>
      </c>
      <c r="AJ647">
        <v>0</v>
      </c>
      <c r="AK647">
        <v>18</v>
      </c>
      <c r="AL647" t="s">
        <v>9236</v>
      </c>
      <c r="AM647" t="s">
        <v>1813</v>
      </c>
      <c r="AN647" t="s">
        <v>9237</v>
      </c>
      <c r="AO647" t="s">
        <v>9238</v>
      </c>
      <c r="AP647" t="s">
        <v>74</v>
      </c>
      <c r="AQ647" t="s">
        <v>74</v>
      </c>
      <c r="AR647" t="s">
        <v>9240</v>
      </c>
      <c r="AS647" t="s">
        <v>74</v>
      </c>
      <c r="AT647" t="s">
        <v>74</v>
      </c>
      <c r="AU647">
        <v>2005</v>
      </c>
      <c r="AV647">
        <v>42</v>
      </c>
      <c r="AW647" t="s">
        <v>74</v>
      </c>
      <c r="AX647" t="s">
        <v>74</v>
      </c>
      <c r="AY647" t="s">
        <v>74</v>
      </c>
      <c r="AZ647" t="s">
        <v>74</v>
      </c>
      <c r="BA647" t="s">
        <v>74</v>
      </c>
      <c r="BB647">
        <v>135</v>
      </c>
      <c r="BC647">
        <v>144</v>
      </c>
      <c r="BD647" t="s">
        <v>74</v>
      </c>
      <c r="BE647" t="s">
        <v>9577</v>
      </c>
      <c r="BF647" t="str">
        <f>HYPERLINK("http://dx.doi.org/10.3189/172756405781812925","http://dx.doi.org/10.3189/172756405781812925")</f>
        <v>http://dx.doi.org/10.3189/172756405781812925</v>
      </c>
      <c r="BG647" t="s">
        <v>74</v>
      </c>
      <c r="BH647" t="s">
        <v>74</v>
      </c>
      <c r="BI647">
        <v>10</v>
      </c>
      <c r="BJ647" t="s">
        <v>537</v>
      </c>
      <c r="BK647" t="s">
        <v>989</v>
      </c>
      <c r="BL647" t="s">
        <v>307</v>
      </c>
      <c r="BM647" t="s">
        <v>9578</v>
      </c>
      <c r="BN647" t="s">
        <v>74</v>
      </c>
      <c r="BO647" t="s">
        <v>539</v>
      </c>
      <c r="BP647" t="s">
        <v>74</v>
      </c>
      <c r="BQ647" t="s">
        <v>74</v>
      </c>
      <c r="BR647" t="s">
        <v>97</v>
      </c>
      <c r="BS647" t="s">
        <v>9579</v>
      </c>
      <c r="BT647" t="str">
        <f>HYPERLINK("https%3A%2F%2Fwww.webofscience.com%2Fwos%2Fwoscc%2Ffull-record%2FWOS:000240655300021","View Full Record in Web of Science")</f>
        <v>View Full Record in Web of Science</v>
      </c>
    </row>
    <row r="648" spans="1:72" x14ac:dyDescent="0.15">
      <c r="A648" t="s">
        <v>1269</v>
      </c>
      <c r="B648" t="s">
        <v>9580</v>
      </c>
      <c r="C648" t="s">
        <v>74</v>
      </c>
      <c r="D648" t="s">
        <v>9563</v>
      </c>
      <c r="E648" t="s">
        <v>74</v>
      </c>
      <c r="F648" t="s">
        <v>9581</v>
      </c>
      <c r="G648" t="s">
        <v>74</v>
      </c>
      <c r="H648" t="s">
        <v>74</v>
      </c>
      <c r="I648" t="s">
        <v>9582</v>
      </c>
      <c r="J648" t="s">
        <v>9566</v>
      </c>
      <c r="K648" t="s">
        <v>9246</v>
      </c>
      <c r="L648" t="s">
        <v>74</v>
      </c>
      <c r="M648" t="s">
        <v>77</v>
      </c>
      <c r="N648" t="s">
        <v>495</v>
      </c>
      <c r="O648" t="s">
        <v>9567</v>
      </c>
      <c r="P648" t="s">
        <v>9568</v>
      </c>
      <c r="Q648" t="s">
        <v>9569</v>
      </c>
      <c r="R648" t="s">
        <v>74</v>
      </c>
      <c r="S648" t="s">
        <v>74</v>
      </c>
      <c r="T648" t="s">
        <v>74</v>
      </c>
      <c r="U648" t="s">
        <v>9583</v>
      </c>
      <c r="V648" t="s">
        <v>9584</v>
      </c>
      <c r="W648" t="s">
        <v>9585</v>
      </c>
      <c r="X648" t="s">
        <v>9586</v>
      </c>
      <c r="Y648" t="s">
        <v>9587</v>
      </c>
      <c r="Z648" t="s">
        <v>9588</v>
      </c>
      <c r="AA648" t="s">
        <v>9589</v>
      </c>
      <c r="AB648" t="s">
        <v>9590</v>
      </c>
      <c r="AC648" t="s">
        <v>9591</v>
      </c>
      <c r="AD648" t="s">
        <v>6063</v>
      </c>
      <c r="AE648" t="s">
        <v>74</v>
      </c>
      <c r="AF648" t="s">
        <v>74</v>
      </c>
      <c r="AG648">
        <v>42</v>
      </c>
      <c r="AH648">
        <v>31</v>
      </c>
      <c r="AI648">
        <v>36</v>
      </c>
      <c r="AJ648">
        <v>0</v>
      </c>
      <c r="AK648">
        <v>12</v>
      </c>
      <c r="AL648" t="s">
        <v>9236</v>
      </c>
      <c r="AM648" t="s">
        <v>1813</v>
      </c>
      <c r="AN648" t="s">
        <v>9237</v>
      </c>
      <c r="AO648" t="s">
        <v>9238</v>
      </c>
      <c r="AP648" t="s">
        <v>74</v>
      </c>
      <c r="AQ648" t="s">
        <v>74</v>
      </c>
      <c r="AR648" t="s">
        <v>9255</v>
      </c>
      <c r="AS648" t="s">
        <v>74</v>
      </c>
      <c r="AT648" t="s">
        <v>74</v>
      </c>
      <c r="AU648">
        <v>2005</v>
      </c>
      <c r="AV648">
        <v>42</v>
      </c>
      <c r="AW648" t="s">
        <v>74</v>
      </c>
      <c r="AX648" t="s">
        <v>74</v>
      </c>
      <c r="AY648" t="s">
        <v>74</v>
      </c>
      <c r="AZ648" t="s">
        <v>74</v>
      </c>
      <c r="BA648" t="s">
        <v>74</v>
      </c>
      <c r="BB648">
        <v>345</v>
      </c>
      <c r="BC648">
        <v>351</v>
      </c>
      <c r="BD648" t="s">
        <v>74</v>
      </c>
      <c r="BE648" t="s">
        <v>9592</v>
      </c>
      <c r="BF648" t="str">
        <f>HYPERLINK("http://dx.doi.org/10.3189/172756405781812637","http://dx.doi.org/10.3189/172756405781812637")</f>
        <v>http://dx.doi.org/10.3189/172756405781812637</v>
      </c>
      <c r="BG648" t="s">
        <v>74</v>
      </c>
      <c r="BH648" t="s">
        <v>74</v>
      </c>
      <c r="BI648">
        <v>7</v>
      </c>
      <c r="BJ648" t="s">
        <v>537</v>
      </c>
      <c r="BK648" t="s">
        <v>989</v>
      </c>
      <c r="BL648" t="s">
        <v>307</v>
      </c>
      <c r="BM648" t="s">
        <v>9578</v>
      </c>
      <c r="BN648" t="s">
        <v>74</v>
      </c>
      <c r="BO648" t="s">
        <v>3093</v>
      </c>
      <c r="BP648" t="s">
        <v>74</v>
      </c>
      <c r="BQ648" t="s">
        <v>74</v>
      </c>
      <c r="BR648" t="s">
        <v>97</v>
      </c>
      <c r="BS648" t="s">
        <v>9593</v>
      </c>
      <c r="BT648" t="str">
        <f>HYPERLINK("https%3A%2F%2Fwww.webofscience.com%2Fwos%2Fwoscc%2Ffull-record%2FWOS:000240655300051","View Full Record in Web of Science")</f>
        <v>View Full Record in Web of Science</v>
      </c>
    </row>
    <row r="649" spans="1:72" x14ac:dyDescent="0.15">
      <c r="A649" t="s">
        <v>1269</v>
      </c>
      <c r="B649" t="s">
        <v>9594</v>
      </c>
      <c r="C649" t="s">
        <v>74</v>
      </c>
      <c r="D649" t="s">
        <v>9563</v>
      </c>
      <c r="E649" t="s">
        <v>74</v>
      </c>
      <c r="F649" t="s">
        <v>9595</v>
      </c>
      <c r="G649" t="s">
        <v>74</v>
      </c>
      <c r="H649" t="s">
        <v>74</v>
      </c>
      <c r="I649" t="s">
        <v>9596</v>
      </c>
      <c r="J649" t="s">
        <v>9566</v>
      </c>
      <c r="K649" t="s">
        <v>9246</v>
      </c>
      <c r="L649" t="s">
        <v>74</v>
      </c>
      <c r="M649" t="s">
        <v>77</v>
      </c>
      <c r="N649" t="s">
        <v>495</v>
      </c>
      <c r="O649" t="s">
        <v>9567</v>
      </c>
      <c r="P649" t="s">
        <v>9568</v>
      </c>
      <c r="Q649" t="s">
        <v>9569</v>
      </c>
      <c r="R649" t="s">
        <v>74</v>
      </c>
      <c r="S649" t="s">
        <v>74</v>
      </c>
      <c r="T649" t="s">
        <v>74</v>
      </c>
      <c r="U649" t="s">
        <v>9597</v>
      </c>
      <c r="V649" t="s">
        <v>9598</v>
      </c>
      <c r="W649" t="s">
        <v>9599</v>
      </c>
      <c r="X649" t="s">
        <v>9600</v>
      </c>
      <c r="Y649" t="s">
        <v>9601</v>
      </c>
      <c r="Z649" t="s">
        <v>9602</v>
      </c>
      <c r="AA649" t="s">
        <v>9603</v>
      </c>
      <c r="AB649" t="s">
        <v>9604</v>
      </c>
      <c r="AC649" t="s">
        <v>74</v>
      </c>
      <c r="AD649" t="s">
        <v>74</v>
      </c>
      <c r="AE649" t="s">
        <v>74</v>
      </c>
      <c r="AF649" t="s">
        <v>74</v>
      </c>
      <c r="AG649">
        <v>28</v>
      </c>
      <c r="AH649">
        <v>23</v>
      </c>
      <c r="AI649">
        <v>25</v>
      </c>
      <c r="AJ649">
        <v>0</v>
      </c>
      <c r="AK649">
        <v>8</v>
      </c>
      <c r="AL649" t="s">
        <v>9236</v>
      </c>
      <c r="AM649" t="s">
        <v>1813</v>
      </c>
      <c r="AN649" t="s">
        <v>9237</v>
      </c>
      <c r="AO649" t="s">
        <v>9238</v>
      </c>
      <c r="AP649" t="s">
        <v>74</v>
      </c>
      <c r="AQ649" t="s">
        <v>74</v>
      </c>
      <c r="AR649" t="s">
        <v>9255</v>
      </c>
      <c r="AS649" t="s">
        <v>74</v>
      </c>
      <c r="AT649" t="s">
        <v>74</v>
      </c>
      <c r="AU649">
        <v>2005</v>
      </c>
      <c r="AV649">
        <v>42</v>
      </c>
      <c r="AW649" t="s">
        <v>74</v>
      </c>
      <c r="AX649" t="s">
        <v>74</v>
      </c>
      <c r="AY649" t="s">
        <v>74</v>
      </c>
      <c r="AZ649" t="s">
        <v>74</v>
      </c>
      <c r="BA649" t="s">
        <v>74</v>
      </c>
      <c r="BB649">
        <v>361</v>
      </c>
      <c r="BC649">
        <v>366</v>
      </c>
      <c r="BD649" t="s">
        <v>74</v>
      </c>
      <c r="BE649" t="s">
        <v>9605</v>
      </c>
      <c r="BF649" t="str">
        <f>HYPERLINK("http://dx.doi.org/10.3189/172756405781812862","http://dx.doi.org/10.3189/172756405781812862")</f>
        <v>http://dx.doi.org/10.3189/172756405781812862</v>
      </c>
      <c r="BG649" t="s">
        <v>74</v>
      </c>
      <c r="BH649" t="s">
        <v>74</v>
      </c>
      <c r="BI649">
        <v>6</v>
      </c>
      <c r="BJ649" t="s">
        <v>537</v>
      </c>
      <c r="BK649" t="s">
        <v>989</v>
      </c>
      <c r="BL649" t="s">
        <v>307</v>
      </c>
      <c r="BM649" t="s">
        <v>9578</v>
      </c>
      <c r="BN649" t="s">
        <v>74</v>
      </c>
      <c r="BO649" t="s">
        <v>855</v>
      </c>
      <c r="BP649" t="s">
        <v>74</v>
      </c>
      <c r="BQ649" t="s">
        <v>74</v>
      </c>
      <c r="BR649" t="s">
        <v>97</v>
      </c>
      <c r="BS649" t="s">
        <v>9606</v>
      </c>
      <c r="BT649" t="str">
        <f>HYPERLINK("https%3A%2F%2Fwww.webofscience.com%2Fwos%2Fwoscc%2Ffull-record%2FWOS:000240655300053","View Full Record in Web of Science")</f>
        <v>View Full Record in Web of Science</v>
      </c>
    </row>
    <row r="650" spans="1:72" x14ac:dyDescent="0.15">
      <c r="A650" t="s">
        <v>72</v>
      </c>
      <c r="B650" t="s">
        <v>2243</v>
      </c>
      <c r="C650" t="s">
        <v>74</v>
      </c>
      <c r="D650" t="s">
        <v>74</v>
      </c>
      <c r="E650" t="s">
        <v>74</v>
      </c>
      <c r="F650" t="s">
        <v>2243</v>
      </c>
      <c r="G650" t="s">
        <v>74</v>
      </c>
      <c r="H650" t="s">
        <v>74</v>
      </c>
      <c r="I650" t="s">
        <v>9607</v>
      </c>
      <c r="J650" t="s">
        <v>9608</v>
      </c>
      <c r="K650" t="s">
        <v>9609</v>
      </c>
      <c r="L650" t="s">
        <v>74</v>
      </c>
      <c r="M650" t="s">
        <v>77</v>
      </c>
      <c r="N650" t="s">
        <v>9012</v>
      </c>
      <c r="O650" t="s">
        <v>74</v>
      </c>
      <c r="P650" t="s">
        <v>74</v>
      </c>
      <c r="Q650" t="s">
        <v>74</v>
      </c>
      <c r="R650" t="s">
        <v>74</v>
      </c>
      <c r="S650" t="s">
        <v>74</v>
      </c>
      <c r="T650" t="s">
        <v>9610</v>
      </c>
      <c r="U650" t="s">
        <v>9611</v>
      </c>
      <c r="V650" t="s">
        <v>9612</v>
      </c>
      <c r="W650" t="s">
        <v>9613</v>
      </c>
      <c r="X650" t="s">
        <v>2250</v>
      </c>
      <c r="Y650" t="s">
        <v>9614</v>
      </c>
      <c r="Z650" t="s">
        <v>9615</v>
      </c>
      <c r="AA650" t="s">
        <v>9616</v>
      </c>
      <c r="AB650" t="s">
        <v>9617</v>
      </c>
      <c r="AC650" t="s">
        <v>74</v>
      </c>
      <c r="AD650" t="s">
        <v>74</v>
      </c>
      <c r="AE650" t="s">
        <v>74</v>
      </c>
      <c r="AF650" t="s">
        <v>74</v>
      </c>
      <c r="AG650">
        <v>64</v>
      </c>
      <c r="AH650">
        <v>45</v>
      </c>
      <c r="AI650">
        <v>49</v>
      </c>
      <c r="AJ650">
        <v>4</v>
      </c>
      <c r="AK650">
        <v>60</v>
      </c>
      <c r="AL650" t="s">
        <v>9618</v>
      </c>
      <c r="AM650" t="s">
        <v>9619</v>
      </c>
      <c r="AN650" t="s">
        <v>9620</v>
      </c>
      <c r="AO650" t="s">
        <v>9621</v>
      </c>
      <c r="AP650" t="s">
        <v>74</v>
      </c>
      <c r="AQ650" t="s">
        <v>74</v>
      </c>
      <c r="AR650" t="s">
        <v>9622</v>
      </c>
      <c r="AS650" t="s">
        <v>9623</v>
      </c>
      <c r="AT650" t="s">
        <v>74</v>
      </c>
      <c r="AU650">
        <v>2005</v>
      </c>
      <c r="AV650">
        <v>33</v>
      </c>
      <c r="AW650" t="s">
        <v>74</v>
      </c>
      <c r="AX650" t="s">
        <v>74</v>
      </c>
      <c r="AY650" t="s">
        <v>74</v>
      </c>
      <c r="AZ650" t="s">
        <v>74</v>
      </c>
      <c r="BA650" t="s">
        <v>74</v>
      </c>
      <c r="BB650">
        <v>215</v>
      </c>
      <c r="BC650">
        <v>245</v>
      </c>
      <c r="BD650" t="s">
        <v>74</v>
      </c>
      <c r="BE650" t="s">
        <v>9624</v>
      </c>
      <c r="BF650" t="str">
        <f>HYPERLINK("http://dx.doi.org/10.1146/annurev.earth.33.092203.122725","http://dx.doi.org/10.1146/annurev.earth.33.092203.122725")</f>
        <v>http://dx.doi.org/10.1146/annurev.earth.33.092203.122725</v>
      </c>
      <c r="BG650" t="s">
        <v>74</v>
      </c>
      <c r="BH650" t="s">
        <v>74</v>
      </c>
      <c r="BI650">
        <v>37</v>
      </c>
      <c r="BJ650" t="s">
        <v>9625</v>
      </c>
      <c r="BK650" t="s">
        <v>9025</v>
      </c>
      <c r="BL650" t="s">
        <v>9626</v>
      </c>
      <c r="BM650" t="s">
        <v>9627</v>
      </c>
      <c r="BN650" t="s">
        <v>74</v>
      </c>
      <c r="BO650" t="s">
        <v>143</v>
      </c>
      <c r="BP650" t="s">
        <v>74</v>
      </c>
      <c r="BQ650" t="s">
        <v>74</v>
      </c>
      <c r="BR650" t="s">
        <v>97</v>
      </c>
      <c r="BS650" t="s">
        <v>9628</v>
      </c>
      <c r="BT650" t="str">
        <f>HYPERLINK("https%3A%2F%2Fwww.webofscience.com%2Fwos%2Fwoscc%2Ffull-record%2FWOS:000229840700008","View Full Record in Web of Science")</f>
        <v>View Full Record in Web of Science</v>
      </c>
    </row>
    <row r="651" spans="1:72" x14ac:dyDescent="0.15">
      <c r="A651" t="s">
        <v>72</v>
      </c>
      <c r="B651" t="s">
        <v>9629</v>
      </c>
      <c r="C651" t="s">
        <v>74</v>
      </c>
      <c r="D651" t="s">
        <v>74</v>
      </c>
      <c r="E651" t="s">
        <v>74</v>
      </c>
      <c r="F651" t="s">
        <v>9629</v>
      </c>
      <c r="G651" t="s">
        <v>74</v>
      </c>
      <c r="H651" t="s">
        <v>74</v>
      </c>
      <c r="I651" t="s">
        <v>9630</v>
      </c>
      <c r="J651" t="s">
        <v>9608</v>
      </c>
      <c r="K651" t="s">
        <v>9609</v>
      </c>
      <c r="L651" t="s">
        <v>74</v>
      </c>
      <c r="M651" t="s">
        <v>77</v>
      </c>
      <c r="N651" t="s">
        <v>9012</v>
      </c>
      <c r="O651" t="s">
        <v>74</v>
      </c>
      <c r="P651" t="s">
        <v>74</v>
      </c>
      <c r="Q651" t="s">
        <v>74</v>
      </c>
      <c r="R651" t="s">
        <v>74</v>
      </c>
      <c r="S651" t="s">
        <v>74</v>
      </c>
      <c r="T651" t="s">
        <v>9631</v>
      </c>
      <c r="U651" t="s">
        <v>9632</v>
      </c>
      <c r="V651" t="s">
        <v>9633</v>
      </c>
      <c r="W651" t="s">
        <v>9634</v>
      </c>
      <c r="X651" t="s">
        <v>9635</v>
      </c>
      <c r="Y651" t="s">
        <v>9636</v>
      </c>
      <c r="Z651" t="s">
        <v>9637</v>
      </c>
      <c r="AA651" t="s">
        <v>74</v>
      </c>
      <c r="AB651" t="s">
        <v>74</v>
      </c>
      <c r="AC651" t="s">
        <v>74</v>
      </c>
      <c r="AD651" t="s">
        <v>74</v>
      </c>
      <c r="AE651" t="s">
        <v>74</v>
      </c>
      <c r="AF651" t="s">
        <v>74</v>
      </c>
      <c r="AG651">
        <v>97</v>
      </c>
      <c r="AH651">
        <v>239</v>
      </c>
      <c r="AI651">
        <v>265</v>
      </c>
      <c r="AJ651">
        <v>2</v>
      </c>
      <c r="AK651">
        <v>84</v>
      </c>
      <c r="AL651" t="s">
        <v>9618</v>
      </c>
      <c r="AM651" t="s">
        <v>9619</v>
      </c>
      <c r="AN651" t="s">
        <v>9620</v>
      </c>
      <c r="AO651" t="s">
        <v>9621</v>
      </c>
      <c r="AP651" t="s">
        <v>74</v>
      </c>
      <c r="AQ651" t="s">
        <v>74</v>
      </c>
      <c r="AR651" t="s">
        <v>9622</v>
      </c>
      <c r="AS651" t="s">
        <v>9623</v>
      </c>
      <c r="AT651" t="s">
        <v>74</v>
      </c>
      <c r="AU651">
        <v>2005</v>
      </c>
      <c r="AV651">
        <v>33</v>
      </c>
      <c r="AW651" t="s">
        <v>74</v>
      </c>
      <c r="AX651" t="s">
        <v>74</v>
      </c>
      <c r="AY651" t="s">
        <v>74</v>
      </c>
      <c r="AZ651" t="s">
        <v>74</v>
      </c>
      <c r="BA651" t="s">
        <v>74</v>
      </c>
      <c r="BB651">
        <v>247</v>
      </c>
      <c r="BC651">
        <v>276</v>
      </c>
      <c r="BD651" t="s">
        <v>74</v>
      </c>
      <c r="BE651" t="s">
        <v>9638</v>
      </c>
      <c r="BF651" t="str">
        <f>HYPERLINK("http://dx.doi.org/10.1146/annurev.earth.33.092203.122621","http://dx.doi.org/10.1146/annurev.earth.33.092203.122621")</f>
        <v>http://dx.doi.org/10.1146/annurev.earth.33.092203.122621</v>
      </c>
      <c r="BG651" t="s">
        <v>74</v>
      </c>
      <c r="BH651" t="s">
        <v>74</v>
      </c>
      <c r="BI651">
        <v>32</v>
      </c>
      <c r="BJ651" t="s">
        <v>9625</v>
      </c>
      <c r="BK651" t="s">
        <v>9025</v>
      </c>
      <c r="BL651" t="s">
        <v>9626</v>
      </c>
      <c r="BM651" t="s">
        <v>9627</v>
      </c>
      <c r="BN651" t="s">
        <v>74</v>
      </c>
      <c r="BO651" t="s">
        <v>74</v>
      </c>
      <c r="BP651" t="s">
        <v>74</v>
      </c>
      <c r="BQ651" t="s">
        <v>74</v>
      </c>
      <c r="BR651" t="s">
        <v>97</v>
      </c>
      <c r="BS651" t="s">
        <v>9639</v>
      </c>
      <c r="BT651" t="str">
        <f>HYPERLINK("https%3A%2F%2Fwww.webofscience.com%2Fwos%2Fwoscc%2Ffull-record%2FWOS:000229840700009","View Full Record in Web of Science")</f>
        <v>View Full Record in Web of Science</v>
      </c>
    </row>
    <row r="652" spans="1:72" x14ac:dyDescent="0.15">
      <c r="A652" t="s">
        <v>8867</v>
      </c>
      <c r="B652" t="s">
        <v>9640</v>
      </c>
      <c r="C652" t="s">
        <v>74</v>
      </c>
      <c r="D652" t="s">
        <v>9641</v>
      </c>
      <c r="E652" t="s">
        <v>74</v>
      </c>
      <c r="F652" t="s">
        <v>9640</v>
      </c>
      <c r="G652" t="s">
        <v>74</v>
      </c>
      <c r="H652" t="s">
        <v>74</v>
      </c>
      <c r="I652" t="s">
        <v>9642</v>
      </c>
      <c r="J652" t="s">
        <v>9643</v>
      </c>
      <c r="K652" t="s">
        <v>9644</v>
      </c>
      <c r="L652" t="s">
        <v>74</v>
      </c>
      <c r="M652" t="s">
        <v>77</v>
      </c>
      <c r="N652" t="s">
        <v>8873</v>
      </c>
      <c r="O652" t="s">
        <v>9645</v>
      </c>
      <c r="P652" t="s">
        <v>9646</v>
      </c>
      <c r="Q652" t="s">
        <v>9647</v>
      </c>
      <c r="R652" t="s">
        <v>74</v>
      </c>
      <c r="S652" t="s">
        <v>74</v>
      </c>
      <c r="T652" t="s">
        <v>9648</v>
      </c>
      <c r="U652" t="s">
        <v>9649</v>
      </c>
      <c r="V652" t="s">
        <v>9650</v>
      </c>
      <c r="W652" t="s">
        <v>9651</v>
      </c>
      <c r="X652" t="s">
        <v>9652</v>
      </c>
      <c r="Y652" t="s">
        <v>9653</v>
      </c>
      <c r="Z652" t="s">
        <v>74</v>
      </c>
      <c r="AA652" t="s">
        <v>9654</v>
      </c>
      <c r="AB652" t="s">
        <v>74</v>
      </c>
      <c r="AC652" t="s">
        <v>74</v>
      </c>
      <c r="AD652" t="s">
        <v>74</v>
      </c>
      <c r="AE652" t="s">
        <v>74</v>
      </c>
      <c r="AF652" t="s">
        <v>74</v>
      </c>
      <c r="AG652">
        <v>33</v>
      </c>
      <c r="AH652">
        <v>0</v>
      </c>
      <c r="AI652">
        <v>1</v>
      </c>
      <c r="AJ652">
        <v>0</v>
      </c>
      <c r="AK652">
        <v>6</v>
      </c>
      <c r="AL652" t="s">
        <v>9655</v>
      </c>
      <c r="AM652" t="s">
        <v>9656</v>
      </c>
      <c r="AN652" t="s">
        <v>9657</v>
      </c>
      <c r="AO652" t="s">
        <v>9658</v>
      </c>
      <c r="AP652" t="s">
        <v>74</v>
      </c>
      <c r="AQ652" t="s">
        <v>9659</v>
      </c>
      <c r="AR652" t="s">
        <v>9660</v>
      </c>
      <c r="AS652" t="s">
        <v>74</v>
      </c>
      <c r="AT652" t="s">
        <v>74</v>
      </c>
      <c r="AU652">
        <v>2005</v>
      </c>
      <c r="AV652">
        <v>5658</v>
      </c>
      <c r="AW652" t="s">
        <v>74</v>
      </c>
      <c r="AX652" t="s">
        <v>74</v>
      </c>
      <c r="AY652" t="s">
        <v>74</v>
      </c>
      <c r="AZ652" t="s">
        <v>74</v>
      </c>
      <c r="BA652" t="s">
        <v>74</v>
      </c>
      <c r="BB652">
        <v>257</v>
      </c>
      <c r="BC652">
        <v>268</v>
      </c>
      <c r="BD652" t="s">
        <v>74</v>
      </c>
      <c r="BE652" t="s">
        <v>9661</v>
      </c>
      <c r="BF652" t="str">
        <f>HYPERLINK("http://dx.doi.org/10.1117/12.578803","http://dx.doi.org/10.1117/12.578803")</f>
        <v>http://dx.doi.org/10.1117/12.578803</v>
      </c>
      <c r="BG652" t="s">
        <v>74</v>
      </c>
      <c r="BH652" t="s">
        <v>74</v>
      </c>
      <c r="BI652">
        <v>12</v>
      </c>
      <c r="BJ652" t="s">
        <v>9662</v>
      </c>
      <c r="BK652" t="s">
        <v>8890</v>
      </c>
      <c r="BL652" t="s">
        <v>9663</v>
      </c>
      <c r="BM652" t="s">
        <v>9664</v>
      </c>
      <c r="BN652" t="s">
        <v>74</v>
      </c>
      <c r="BO652" t="s">
        <v>74</v>
      </c>
      <c r="BP652" t="s">
        <v>74</v>
      </c>
      <c r="BQ652" t="s">
        <v>74</v>
      </c>
      <c r="BR652" t="s">
        <v>97</v>
      </c>
      <c r="BS652" t="s">
        <v>9665</v>
      </c>
      <c r="BT652" t="str">
        <f>HYPERLINK("https%3A%2F%2Fwww.webofscience.com%2Fwos%2Fwoscc%2Ffull-record%2FWOS:000227664900026","View Full Record in Web of Science")</f>
        <v>View Full Record in Web of Science</v>
      </c>
    </row>
    <row r="653" spans="1:72" x14ac:dyDescent="0.15">
      <c r="A653" t="s">
        <v>72</v>
      </c>
      <c r="B653" t="s">
        <v>9666</v>
      </c>
      <c r="C653" t="s">
        <v>74</v>
      </c>
      <c r="D653" t="s">
        <v>74</v>
      </c>
      <c r="E653" t="s">
        <v>74</v>
      </c>
      <c r="F653" t="s">
        <v>9666</v>
      </c>
      <c r="G653" t="s">
        <v>74</v>
      </c>
      <c r="H653" t="s">
        <v>74</v>
      </c>
      <c r="I653" t="s">
        <v>9667</v>
      </c>
      <c r="J653" t="s">
        <v>3124</v>
      </c>
      <c r="K653" t="s">
        <v>74</v>
      </c>
      <c r="L653" t="s">
        <v>74</v>
      </c>
      <c r="M653" t="s">
        <v>77</v>
      </c>
      <c r="N653" t="s">
        <v>78</v>
      </c>
      <c r="O653" t="s">
        <v>74</v>
      </c>
      <c r="P653" t="s">
        <v>74</v>
      </c>
      <c r="Q653" t="s">
        <v>74</v>
      </c>
      <c r="R653" t="s">
        <v>74</v>
      </c>
      <c r="S653" t="s">
        <v>74</v>
      </c>
      <c r="T653" t="s">
        <v>9668</v>
      </c>
      <c r="U653" t="s">
        <v>9669</v>
      </c>
      <c r="V653" t="s">
        <v>9670</v>
      </c>
      <c r="W653" t="s">
        <v>9671</v>
      </c>
      <c r="X653" t="s">
        <v>9672</v>
      </c>
      <c r="Y653" t="s">
        <v>9673</v>
      </c>
      <c r="Z653" t="s">
        <v>9674</v>
      </c>
      <c r="AA653" t="s">
        <v>9675</v>
      </c>
      <c r="AB653" t="s">
        <v>74</v>
      </c>
      <c r="AC653" t="s">
        <v>74</v>
      </c>
      <c r="AD653" t="s">
        <v>74</v>
      </c>
      <c r="AE653" t="s">
        <v>74</v>
      </c>
      <c r="AF653" t="s">
        <v>74</v>
      </c>
      <c r="AG653">
        <v>36</v>
      </c>
      <c r="AH653">
        <v>22</v>
      </c>
      <c r="AI653">
        <v>22</v>
      </c>
      <c r="AJ653">
        <v>0</v>
      </c>
      <c r="AK653">
        <v>6</v>
      </c>
      <c r="AL653" t="s">
        <v>255</v>
      </c>
      <c r="AM653" t="s">
        <v>256</v>
      </c>
      <c r="AN653" t="s">
        <v>257</v>
      </c>
      <c r="AO653" t="s">
        <v>3132</v>
      </c>
      <c r="AP653" t="s">
        <v>3133</v>
      </c>
      <c r="AQ653" t="s">
        <v>74</v>
      </c>
      <c r="AR653" t="s">
        <v>3134</v>
      </c>
      <c r="AS653" t="s">
        <v>3135</v>
      </c>
      <c r="AT653" t="s">
        <v>9676</v>
      </c>
      <c r="AU653">
        <v>2005</v>
      </c>
      <c r="AV653">
        <v>39</v>
      </c>
      <c r="AW653">
        <v>3</v>
      </c>
      <c r="AX653" t="s">
        <v>74</v>
      </c>
      <c r="AY653" t="s">
        <v>74</v>
      </c>
      <c r="AZ653" t="s">
        <v>74</v>
      </c>
      <c r="BA653" t="s">
        <v>74</v>
      </c>
      <c r="BB653">
        <v>521</v>
      </c>
      <c r="BC653">
        <v>533</v>
      </c>
      <c r="BD653" t="s">
        <v>74</v>
      </c>
      <c r="BE653" t="s">
        <v>9677</v>
      </c>
      <c r="BF653" t="str">
        <f>HYPERLINK("http://dx.doi.org/10.1016/j.atmosenv.2004.09.063","http://dx.doi.org/10.1016/j.atmosenv.2004.09.063")</f>
        <v>http://dx.doi.org/10.1016/j.atmosenv.2004.09.063</v>
      </c>
      <c r="BG653" t="s">
        <v>74</v>
      </c>
      <c r="BH653" t="s">
        <v>74</v>
      </c>
      <c r="BI653">
        <v>13</v>
      </c>
      <c r="BJ653" t="s">
        <v>2362</v>
      </c>
      <c r="BK653" t="s">
        <v>95</v>
      </c>
      <c r="BL653" t="s">
        <v>2363</v>
      </c>
      <c r="BM653" t="s">
        <v>9678</v>
      </c>
      <c r="BN653" t="s">
        <v>74</v>
      </c>
      <c r="BO653" t="s">
        <v>74</v>
      </c>
      <c r="BP653" t="s">
        <v>74</v>
      </c>
      <c r="BQ653" t="s">
        <v>74</v>
      </c>
      <c r="BR653" t="s">
        <v>97</v>
      </c>
      <c r="BS653" t="s">
        <v>9679</v>
      </c>
      <c r="BT653" t="str">
        <f>HYPERLINK("https%3A%2F%2Fwww.webofscience.com%2Fwos%2Fwoscc%2Ffull-record%2FWOS:000226625500010","View Full Record in Web of Science")</f>
        <v>View Full Record in Web of Science</v>
      </c>
    </row>
    <row r="654" spans="1:72" x14ac:dyDescent="0.15">
      <c r="A654" t="s">
        <v>1269</v>
      </c>
      <c r="B654" t="s">
        <v>9680</v>
      </c>
      <c r="C654" t="s">
        <v>74</v>
      </c>
      <c r="D654" t="s">
        <v>9681</v>
      </c>
      <c r="E654" t="s">
        <v>74</v>
      </c>
      <c r="F654" t="s">
        <v>9680</v>
      </c>
      <c r="G654" t="s">
        <v>74</v>
      </c>
      <c r="H654" t="s">
        <v>74</v>
      </c>
      <c r="I654" t="s">
        <v>9682</v>
      </c>
      <c r="J654" t="s">
        <v>9683</v>
      </c>
      <c r="K654" t="s">
        <v>9684</v>
      </c>
      <c r="L654" t="s">
        <v>74</v>
      </c>
      <c r="M654" t="s">
        <v>77</v>
      </c>
      <c r="N654" t="s">
        <v>495</v>
      </c>
      <c r="O654" t="s">
        <v>9685</v>
      </c>
      <c r="P654" t="s">
        <v>9686</v>
      </c>
      <c r="Q654" t="s">
        <v>9687</v>
      </c>
      <c r="R654" t="s">
        <v>74</v>
      </c>
      <c r="S654" t="s">
        <v>74</v>
      </c>
      <c r="T654" t="s">
        <v>9688</v>
      </c>
      <c r="U654" t="s">
        <v>9689</v>
      </c>
      <c r="V654" t="s">
        <v>9690</v>
      </c>
      <c r="W654" t="s">
        <v>9691</v>
      </c>
      <c r="X654" t="s">
        <v>9692</v>
      </c>
      <c r="Y654" t="s">
        <v>9693</v>
      </c>
      <c r="Z654" t="s">
        <v>9694</v>
      </c>
      <c r="AA654" t="s">
        <v>74</v>
      </c>
      <c r="AB654" t="s">
        <v>9695</v>
      </c>
      <c r="AC654" t="s">
        <v>74</v>
      </c>
      <c r="AD654" t="s">
        <v>74</v>
      </c>
      <c r="AE654" t="s">
        <v>74</v>
      </c>
      <c r="AF654" t="s">
        <v>74</v>
      </c>
      <c r="AG654">
        <v>12</v>
      </c>
      <c r="AH654">
        <v>20</v>
      </c>
      <c r="AI654">
        <v>22</v>
      </c>
      <c r="AJ654">
        <v>0</v>
      </c>
      <c r="AK654">
        <v>2</v>
      </c>
      <c r="AL654" t="s">
        <v>9696</v>
      </c>
      <c r="AM654" t="s">
        <v>256</v>
      </c>
      <c r="AN654" t="s">
        <v>9697</v>
      </c>
      <c r="AO654" t="s">
        <v>9698</v>
      </c>
      <c r="AP654" t="s">
        <v>74</v>
      </c>
      <c r="AQ654" t="s">
        <v>74</v>
      </c>
      <c r="AR654" t="s">
        <v>9699</v>
      </c>
      <c r="AS654" t="s">
        <v>74</v>
      </c>
      <c r="AT654" t="s">
        <v>74</v>
      </c>
      <c r="AU654">
        <v>2005</v>
      </c>
      <c r="AV654">
        <v>36</v>
      </c>
      <c r="AW654">
        <v>5</v>
      </c>
      <c r="AX654" t="s">
        <v>74</v>
      </c>
      <c r="AY654" t="s">
        <v>74</v>
      </c>
      <c r="AZ654">
        <v>2005</v>
      </c>
      <c r="BA654" t="s">
        <v>74</v>
      </c>
      <c r="BB654">
        <v>800</v>
      </c>
      <c r="BC654">
        <v>806</v>
      </c>
      <c r="BD654" t="s">
        <v>74</v>
      </c>
      <c r="BE654" t="s">
        <v>9700</v>
      </c>
      <c r="BF654" t="str">
        <f>HYPERLINK("http://dx.doi.org/10.1016/j.asr.2005.04.096","http://dx.doi.org/10.1016/j.asr.2005.04.096")</f>
        <v>http://dx.doi.org/10.1016/j.asr.2005.04.096</v>
      </c>
      <c r="BG654" t="s">
        <v>74</v>
      </c>
      <c r="BH654" t="s">
        <v>74</v>
      </c>
      <c r="BI654">
        <v>7</v>
      </c>
      <c r="BJ654" t="s">
        <v>9701</v>
      </c>
      <c r="BK654" t="s">
        <v>989</v>
      </c>
      <c r="BL654" t="s">
        <v>9702</v>
      </c>
      <c r="BM654" t="s">
        <v>9703</v>
      </c>
      <c r="BN654" t="s">
        <v>74</v>
      </c>
      <c r="BO654" t="s">
        <v>74</v>
      </c>
      <c r="BP654" t="s">
        <v>74</v>
      </c>
      <c r="BQ654" t="s">
        <v>74</v>
      </c>
      <c r="BR654" t="s">
        <v>97</v>
      </c>
      <c r="BS654" t="s">
        <v>9704</v>
      </c>
      <c r="BT654" t="str">
        <f>HYPERLINK("https%3A%2F%2Fwww.webofscience.com%2Fwos%2Fwoscc%2Ffull-record%2FWOS:000235478400005","View Full Record in Web of Science")</f>
        <v>View Full Record in Web of Science</v>
      </c>
    </row>
    <row r="655" spans="1:72" x14ac:dyDescent="0.15">
      <c r="A655" t="s">
        <v>1269</v>
      </c>
      <c r="B655" t="s">
        <v>9705</v>
      </c>
      <c r="C655" t="s">
        <v>74</v>
      </c>
      <c r="D655" t="s">
        <v>9681</v>
      </c>
      <c r="E655" t="s">
        <v>74</v>
      </c>
      <c r="F655" t="s">
        <v>9705</v>
      </c>
      <c r="G655" t="s">
        <v>74</v>
      </c>
      <c r="H655" t="s">
        <v>74</v>
      </c>
      <c r="I655" t="s">
        <v>9706</v>
      </c>
      <c r="J655" t="s">
        <v>9683</v>
      </c>
      <c r="K655" t="s">
        <v>9684</v>
      </c>
      <c r="L655" t="s">
        <v>74</v>
      </c>
      <c r="M655" t="s">
        <v>77</v>
      </c>
      <c r="N655" t="s">
        <v>495</v>
      </c>
      <c r="O655" t="s">
        <v>9685</v>
      </c>
      <c r="P655" t="s">
        <v>9686</v>
      </c>
      <c r="Q655" t="s">
        <v>9687</v>
      </c>
      <c r="R655" t="s">
        <v>74</v>
      </c>
      <c r="S655" t="s">
        <v>74</v>
      </c>
      <c r="T655" t="s">
        <v>9707</v>
      </c>
      <c r="U655" t="s">
        <v>9708</v>
      </c>
      <c r="V655" t="s">
        <v>9709</v>
      </c>
      <c r="W655" t="s">
        <v>9710</v>
      </c>
      <c r="X655" t="s">
        <v>9711</v>
      </c>
      <c r="Y655" t="s">
        <v>2616</v>
      </c>
      <c r="Z655" t="s">
        <v>2617</v>
      </c>
      <c r="AA655" t="s">
        <v>9712</v>
      </c>
      <c r="AB655" t="s">
        <v>9713</v>
      </c>
      <c r="AC655" t="s">
        <v>74</v>
      </c>
      <c r="AD655" t="s">
        <v>74</v>
      </c>
      <c r="AE655" t="s">
        <v>74</v>
      </c>
      <c r="AF655" t="s">
        <v>74</v>
      </c>
      <c r="AG655">
        <v>25</v>
      </c>
      <c r="AH655">
        <v>2</v>
      </c>
      <c r="AI655">
        <v>2</v>
      </c>
      <c r="AJ655">
        <v>0</v>
      </c>
      <c r="AK655">
        <v>7</v>
      </c>
      <c r="AL655" t="s">
        <v>9696</v>
      </c>
      <c r="AM655" t="s">
        <v>256</v>
      </c>
      <c r="AN655" t="s">
        <v>9697</v>
      </c>
      <c r="AO655" t="s">
        <v>9698</v>
      </c>
      <c r="AP655" t="s">
        <v>74</v>
      </c>
      <c r="AQ655" t="s">
        <v>74</v>
      </c>
      <c r="AR655" t="s">
        <v>9699</v>
      </c>
      <c r="AS655" t="s">
        <v>74</v>
      </c>
      <c r="AT655" t="s">
        <v>74</v>
      </c>
      <c r="AU655">
        <v>2005</v>
      </c>
      <c r="AV655">
        <v>36</v>
      </c>
      <c r="AW655">
        <v>5</v>
      </c>
      <c r="AX655" t="s">
        <v>74</v>
      </c>
      <c r="AY655" t="s">
        <v>74</v>
      </c>
      <c r="AZ655">
        <v>2005</v>
      </c>
      <c r="BA655" t="s">
        <v>74</v>
      </c>
      <c r="BB655">
        <v>835</v>
      </c>
      <c r="BC655">
        <v>845</v>
      </c>
      <c r="BD655" t="s">
        <v>74</v>
      </c>
      <c r="BE655" t="s">
        <v>9714</v>
      </c>
      <c r="BF655" t="str">
        <f>HYPERLINK("http://dx.doi.org/10.1016/j.asr.2005.03.016","http://dx.doi.org/10.1016/j.asr.2005.03.016")</f>
        <v>http://dx.doi.org/10.1016/j.asr.2005.03.016</v>
      </c>
      <c r="BG655" t="s">
        <v>74</v>
      </c>
      <c r="BH655" t="s">
        <v>74</v>
      </c>
      <c r="BI655">
        <v>11</v>
      </c>
      <c r="BJ655" t="s">
        <v>9701</v>
      </c>
      <c r="BK655" t="s">
        <v>989</v>
      </c>
      <c r="BL655" t="s">
        <v>9702</v>
      </c>
      <c r="BM655" t="s">
        <v>9703</v>
      </c>
      <c r="BN655" t="s">
        <v>74</v>
      </c>
      <c r="BO655" t="s">
        <v>74</v>
      </c>
      <c r="BP655" t="s">
        <v>74</v>
      </c>
      <c r="BQ655" t="s">
        <v>74</v>
      </c>
      <c r="BR655" t="s">
        <v>97</v>
      </c>
      <c r="BS655" t="s">
        <v>9715</v>
      </c>
      <c r="BT655" t="str">
        <f>HYPERLINK("https%3A%2F%2Fwww.webofscience.com%2Fwos%2Fwoscc%2Ffull-record%2FWOS:000235478400010","View Full Record in Web of Science")</f>
        <v>View Full Record in Web of Science</v>
      </c>
    </row>
    <row r="656" spans="1:72" x14ac:dyDescent="0.15">
      <c r="A656" t="s">
        <v>1269</v>
      </c>
      <c r="B656" t="s">
        <v>9716</v>
      </c>
      <c r="C656" t="s">
        <v>74</v>
      </c>
      <c r="D656" t="s">
        <v>9681</v>
      </c>
      <c r="E656" t="s">
        <v>74</v>
      </c>
      <c r="F656" t="s">
        <v>9716</v>
      </c>
      <c r="G656" t="s">
        <v>74</v>
      </c>
      <c r="H656" t="s">
        <v>74</v>
      </c>
      <c r="I656" t="s">
        <v>9717</v>
      </c>
      <c r="J656" t="s">
        <v>9683</v>
      </c>
      <c r="K656" t="s">
        <v>9684</v>
      </c>
      <c r="L656" t="s">
        <v>74</v>
      </c>
      <c r="M656" t="s">
        <v>77</v>
      </c>
      <c r="N656" t="s">
        <v>495</v>
      </c>
      <c r="O656" t="s">
        <v>9685</v>
      </c>
      <c r="P656" t="s">
        <v>9686</v>
      </c>
      <c r="Q656" t="s">
        <v>9687</v>
      </c>
      <c r="R656" t="s">
        <v>74</v>
      </c>
      <c r="S656" t="s">
        <v>74</v>
      </c>
      <c r="T656" t="s">
        <v>9718</v>
      </c>
      <c r="U656" t="s">
        <v>9719</v>
      </c>
      <c r="V656" t="s">
        <v>9720</v>
      </c>
      <c r="W656" t="s">
        <v>9721</v>
      </c>
      <c r="X656" t="s">
        <v>9722</v>
      </c>
      <c r="Y656" t="s">
        <v>9723</v>
      </c>
      <c r="Z656" t="s">
        <v>9724</v>
      </c>
      <c r="AA656" t="s">
        <v>9725</v>
      </c>
      <c r="AB656" t="s">
        <v>9726</v>
      </c>
      <c r="AC656" t="s">
        <v>74</v>
      </c>
      <c r="AD656" t="s">
        <v>74</v>
      </c>
      <c r="AE656" t="s">
        <v>74</v>
      </c>
      <c r="AF656" t="s">
        <v>74</v>
      </c>
      <c r="AG656">
        <v>23</v>
      </c>
      <c r="AH656">
        <v>14</v>
      </c>
      <c r="AI656">
        <v>15</v>
      </c>
      <c r="AJ656">
        <v>0</v>
      </c>
      <c r="AK656">
        <v>5</v>
      </c>
      <c r="AL656" t="s">
        <v>9696</v>
      </c>
      <c r="AM656" t="s">
        <v>256</v>
      </c>
      <c r="AN656" t="s">
        <v>9697</v>
      </c>
      <c r="AO656" t="s">
        <v>9698</v>
      </c>
      <c r="AP656" t="s">
        <v>74</v>
      </c>
      <c r="AQ656" t="s">
        <v>74</v>
      </c>
      <c r="AR656" t="s">
        <v>9699</v>
      </c>
      <c r="AS656" t="s">
        <v>74</v>
      </c>
      <c r="AT656" t="s">
        <v>74</v>
      </c>
      <c r="AU656">
        <v>2005</v>
      </c>
      <c r="AV656">
        <v>36</v>
      </c>
      <c r="AW656">
        <v>5</v>
      </c>
      <c r="AX656" t="s">
        <v>74</v>
      </c>
      <c r="AY656" t="s">
        <v>74</v>
      </c>
      <c r="AZ656">
        <v>2005</v>
      </c>
      <c r="BA656" t="s">
        <v>74</v>
      </c>
      <c r="BB656">
        <v>868</v>
      </c>
      <c r="BC656">
        <v>878</v>
      </c>
      <c r="BD656" t="s">
        <v>74</v>
      </c>
      <c r="BE656" t="s">
        <v>9727</v>
      </c>
      <c r="BF656" t="str">
        <f>HYPERLINK("http://dx.doi.org/10.1016/j.asr.2005.03.092","http://dx.doi.org/10.1016/j.asr.2005.03.092")</f>
        <v>http://dx.doi.org/10.1016/j.asr.2005.03.092</v>
      </c>
      <c r="BG656" t="s">
        <v>74</v>
      </c>
      <c r="BH656" t="s">
        <v>74</v>
      </c>
      <c r="BI656">
        <v>11</v>
      </c>
      <c r="BJ656" t="s">
        <v>9701</v>
      </c>
      <c r="BK656" t="s">
        <v>989</v>
      </c>
      <c r="BL656" t="s">
        <v>9702</v>
      </c>
      <c r="BM656" t="s">
        <v>9703</v>
      </c>
      <c r="BN656" t="s">
        <v>74</v>
      </c>
      <c r="BO656" t="s">
        <v>74</v>
      </c>
      <c r="BP656" t="s">
        <v>74</v>
      </c>
      <c r="BQ656" t="s">
        <v>74</v>
      </c>
      <c r="BR656" t="s">
        <v>97</v>
      </c>
      <c r="BS656" t="s">
        <v>9728</v>
      </c>
      <c r="BT656" t="str">
        <f>HYPERLINK("https%3A%2F%2Fwww.webofscience.com%2Fwos%2Fwoscc%2Ffull-record%2FWOS:000235478400013","View Full Record in Web of Science")</f>
        <v>View Full Record in Web of Science</v>
      </c>
    </row>
    <row r="657" spans="1:72" x14ac:dyDescent="0.15">
      <c r="A657" t="s">
        <v>1269</v>
      </c>
      <c r="B657" t="s">
        <v>9729</v>
      </c>
      <c r="C657" t="s">
        <v>74</v>
      </c>
      <c r="D657" t="s">
        <v>9681</v>
      </c>
      <c r="E657" t="s">
        <v>74</v>
      </c>
      <c r="F657" t="s">
        <v>9729</v>
      </c>
      <c r="G657" t="s">
        <v>74</v>
      </c>
      <c r="H657" t="s">
        <v>74</v>
      </c>
      <c r="I657" t="s">
        <v>9730</v>
      </c>
      <c r="J657" t="s">
        <v>9683</v>
      </c>
      <c r="K657" t="s">
        <v>9731</v>
      </c>
      <c r="L657" t="s">
        <v>74</v>
      </c>
      <c r="M657" t="s">
        <v>77</v>
      </c>
      <c r="N657" t="s">
        <v>495</v>
      </c>
      <c r="O657" t="s">
        <v>9685</v>
      </c>
      <c r="P657" t="s">
        <v>9686</v>
      </c>
      <c r="Q657" t="s">
        <v>9687</v>
      </c>
      <c r="R657" t="s">
        <v>74</v>
      </c>
      <c r="S657" t="s">
        <v>74</v>
      </c>
      <c r="T657" t="s">
        <v>9732</v>
      </c>
      <c r="U657" t="s">
        <v>9733</v>
      </c>
      <c r="V657" t="s">
        <v>9734</v>
      </c>
      <c r="W657" t="s">
        <v>9735</v>
      </c>
      <c r="X657" t="s">
        <v>9736</v>
      </c>
      <c r="Y657" t="s">
        <v>9737</v>
      </c>
      <c r="Z657" t="s">
        <v>9738</v>
      </c>
      <c r="AA657" t="s">
        <v>9739</v>
      </c>
      <c r="AB657" t="s">
        <v>9740</v>
      </c>
      <c r="AC657" t="s">
        <v>74</v>
      </c>
      <c r="AD657" t="s">
        <v>74</v>
      </c>
      <c r="AE657" t="s">
        <v>74</v>
      </c>
      <c r="AF657" t="s">
        <v>74</v>
      </c>
      <c r="AG657">
        <v>10</v>
      </c>
      <c r="AH657">
        <v>0</v>
      </c>
      <c r="AI657">
        <v>0</v>
      </c>
      <c r="AJ657">
        <v>0</v>
      </c>
      <c r="AK657">
        <v>1</v>
      </c>
      <c r="AL657" t="s">
        <v>9696</v>
      </c>
      <c r="AM657" t="s">
        <v>256</v>
      </c>
      <c r="AN657" t="s">
        <v>9697</v>
      </c>
      <c r="AO657" t="s">
        <v>9698</v>
      </c>
      <c r="AP657" t="s">
        <v>74</v>
      </c>
      <c r="AQ657" t="s">
        <v>74</v>
      </c>
      <c r="AR657" t="s">
        <v>9741</v>
      </c>
      <c r="AS657" t="s">
        <v>74</v>
      </c>
      <c r="AT657" t="s">
        <v>74</v>
      </c>
      <c r="AU657">
        <v>2005</v>
      </c>
      <c r="AV657">
        <v>36</v>
      </c>
      <c r="AW657">
        <v>5</v>
      </c>
      <c r="AX657" t="s">
        <v>74</v>
      </c>
      <c r="AY657" t="s">
        <v>74</v>
      </c>
      <c r="AZ657">
        <v>2005</v>
      </c>
      <c r="BA657" t="s">
        <v>74</v>
      </c>
      <c r="BB657">
        <v>888</v>
      </c>
      <c r="BC657">
        <v>893</v>
      </c>
      <c r="BD657" t="s">
        <v>74</v>
      </c>
      <c r="BE657" t="s">
        <v>9742</v>
      </c>
      <c r="BF657" t="str">
        <f>HYPERLINK("http://dx.doi.org/10.1016/j.asr.2005.03.109","http://dx.doi.org/10.1016/j.asr.2005.03.109")</f>
        <v>http://dx.doi.org/10.1016/j.asr.2005.03.109</v>
      </c>
      <c r="BG657" t="s">
        <v>74</v>
      </c>
      <c r="BH657" t="s">
        <v>74</v>
      </c>
      <c r="BI657">
        <v>6</v>
      </c>
      <c r="BJ657" t="s">
        <v>9701</v>
      </c>
      <c r="BK657" t="s">
        <v>989</v>
      </c>
      <c r="BL657" t="s">
        <v>9702</v>
      </c>
      <c r="BM657" t="s">
        <v>9703</v>
      </c>
      <c r="BN657" t="s">
        <v>74</v>
      </c>
      <c r="BO657" t="s">
        <v>74</v>
      </c>
      <c r="BP657" t="s">
        <v>74</v>
      </c>
      <c r="BQ657" t="s">
        <v>74</v>
      </c>
      <c r="BR657" t="s">
        <v>97</v>
      </c>
      <c r="BS657" t="s">
        <v>9743</v>
      </c>
      <c r="BT657" t="str">
        <f>HYPERLINK("https%3A%2F%2Fwww.webofscience.com%2Fwos%2Fwoscc%2Ffull-record%2FWOS:000235478400015","View Full Record in Web of Science")</f>
        <v>View Full Record in Web of Science</v>
      </c>
    </row>
    <row r="658" spans="1:72" x14ac:dyDescent="0.15">
      <c r="A658" t="s">
        <v>72</v>
      </c>
      <c r="B658" t="s">
        <v>9744</v>
      </c>
      <c r="C658" t="s">
        <v>74</v>
      </c>
      <c r="D658" t="s">
        <v>74</v>
      </c>
      <c r="E658" t="s">
        <v>74</v>
      </c>
      <c r="F658" t="s">
        <v>9745</v>
      </c>
      <c r="G658" t="s">
        <v>74</v>
      </c>
      <c r="H658" t="s">
        <v>74</v>
      </c>
      <c r="I658" t="s">
        <v>9746</v>
      </c>
      <c r="J658" t="s">
        <v>9747</v>
      </c>
      <c r="K658" t="s">
        <v>74</v>
      </c>
      <c r="L658" t="s">
        <v>74</v>
      </c>
      <c r="M658" t="s">
        <v>77</v>
      </c>
      <c r="N658" t="s">
        <v>78</v>
      </c>
      <c r="O658" t="s">
        <v>74</v>
      </c>
      <c r="P658" t="s">
        <v>74</v>
      </c>
      <c r="Q658" t="s">
        <v>74</v>
      </c>
      <c r="R658" t="s">
        <v>74</v>
      </c>
      <c r="S658" t="s">
        <v>74</v>
      </c>
      <c r="T658" t="s">
        <v>74</v>
      </c>
      <c r="U658" t="s">
        <v>9748</v>
      </c>
      <c r="V658" t="s">
        <v>9749</v>
      </c>
      <c r="W658" t="s">
        <v>9750</v>
      </c>
      <c r="X658" t="s">
        <v>9751</v>
      </c>
      <c r="Y658" t="s">
        <v>9752</v>
      </c>
      <c r="Z658" t="s">
        <v>9753</v>
      </c>
      <c r="AA658" t="s">
        <v>74</v>
      </c>
      <c r="AB658" t="s">
        <v>74</v>
      </c>
      <c r="AC658" t="s">
        <v>9754</v>
      </c>
      <c r="AD658" t="s">
        <v>9755</v>
      </c>
      <c r="AE658" t="s">
        <v>9756</v>
      </c>
      <c r="AF658" t="s">
        <v>74</v>
      </c>
      <c r="AG658">
        <v>70</v>
      </c>
      <c r="AH658">
        <v>1</v>
      </c>
      <c r="AI658">
        <v>1</v>
      </c>
      <c r="AJ658">
        <v>0</v>
      </c>
      <c r="AK658">
        <v>0</v>
      </c>
      <c r="AL658" t="s">
        <v>9757</v>
      </c>
      <c r="AM658" t="s">
        <v>9758</v>
      </c>
      <c r="AN658" t="s">
        <v>9759</v>
      </c>
      <c r="AO658" t="s">
        <v>9760</v>
      </c>
      <c r="AP658" t="s">
        <v>9761</v>
      </c>
      <c r="AQ658" t="s">
        <v>74</v>
      </c>
      <c r="AR658" t="s">
        <v>9762</v>
      </c>
      <c r="AS658" t="s">
        <v>9763</v>
      </c>
      <c r="AT658" t="s">
        <v>74</v>
      </c>
      <c r="AU658">
        <v>2005</v>
      </c>
      <c r="AV658">
        <v>83</v>
      </c>
      <c r="AW658" t="s">
        <v>74</v>
      </c>
      <c r="AX658" t="s">
        <v>74</v>
      </c>
      <c r="AY658" t="s">
        <v>74</v>
      </c>
      <c r="AZ658" t="s">
        <v>74</v>
      </c>
      <c r="BA658" t="s">
        <v>74</v>
      </c>
      <c r="BB658" t="s">
        <v>74</v>
      </c>
      <c r="BC658" t="s">
        <v>74</v>
      </c>
      <c r="BD658" t="s">
        <v>9764</v>
      </c>
      <c r="BE658" t="s">
        <v>9765</v>
      </c>
      <c r="BF658" t="str">
        <f>HYPERLINK("http://dx.doi.org/10.1478/C1A0501004","http://dx.doi.org/10.1478/C1A0501004")</f>
        <v>http://dx.doi.org/10.1478/C1A0501004</v>
      </c>
      <c r="BG658" t="s">
        <v>74</v>
      </c>
      <c r="BH658" t="s">
        <v>74</v>
      </c>
      <c r="BI658">
        <v>12</v>
      </c>
      <c r="BJ658" t="s">
        <v>682</v>
      </c>
      <c r="BK658" t="s">
        <v>3249</v>
      </c>
      <c r="BL658" t="s">
        <v>683</v>
      </c>
      <c r="BM658" t="s">
        <v>9766</v>
      </c>
      <c r="BN658" t="s">
        <v>74</v>
      </c>
      <c r="BO658" t="s">
        <v>74</v>
      </c>
      <c r="BP658" t="s">
        <v>74</v>
      </c>
      <c r="BQ658" t="s">
        <v>74</v>
      </c>
      <c r="BR658" t="s">
        <v>97</v>
      </c>
      <c r="BS658" t="s">
        <v>9767</v>
      </c>
      <c r="BT658" t="str">
        <f>HYPERLINK("https%3A%2F%2Fwww.webofscience.com%2Fwos%2Fwoscc%2Ffull-record%2FWOS:000216354100004","View Full Record in Web of Science")</f>
        <v>View Full Record in Web of Science</v>
      </c>
    </row>
    <row r="659" spans="1:72" x14ac:dyDescent="0.15">
      <c r="A659" t="s">
        <v>72</v>
      </c>
      <c r="B659" t="s">
        <v>9768</v>
      </c>
      <c r="C659" t="s">
        <v>74</v>
      </c>
      <c r="D659" t="s">
        <v>74</v>
      </c>
      <c r="E659" t="s">
        <v>74</v>
      </c>
      <c r="F659" t="s">
        <v>9768</v>
      </c>
      <c r="G659" t="s">
        <v>74</v>
      </c>
      <c r="H659" t="s">
        <v>74</v>
      </c>
      <c r="I659" t="s">
        <v>9769</v>
      </c>
      <c r="J659" t="s">
        <v>9770</v>
      </c>
      <c r="K659" t="s">
        <v>74</v>
      </c>
      <c r="L659" t="s">
        <v>74</v>
      </c>
      <c r="M659" t="s">
        <v>77</v>
      </c>
      <c r="N659" t="s">
        <v>78</v>
      </c>
      <c r="O659" t="s">
        <v>74</v>
      </c>
      <c r="P659" t="s">
        <v>74</v>
      </c>
      <c r="Q659" t="s">
        <v>74</v>
      </c>
      <c r="R659" t="s">
        <v>74</v>
      </c>
      <c r="S659" t="s">
        <v>74</v>
      </c>
      <c r="T659" t="s">
        <v>9771</v>
      </c>
      <c r="U659" t="s">
        <v>74</v>
      </c>
      <c r="V659" t="s">
        <v>9772</v>
      </c>
      <c r="W659" t="s">
        <v>9773</v>
      </c>
      <c r="X659" t="s">
        <v>9774</v>
      </c>
      <c r="Y659" t="s">
        <v>9775</v>
      </c>
      <c r="Z659" t="s">
        <v>9776</v>
      </c>
      <c r="AA659" t="s">
        <v>74</v>
      </c>
      <c r="AB659" t="s">
        <v>9777</v>
      </c>
      <c r="AC659" t="s">
        <v>74</v>
      </c>
      <c r="AD659" t="s">
        <v>74</v>
      </c>
      <c r="AE659" t="s">
        <v>74</v>
      </c>
      <c r="AF659" t="s">
        <v>74</v>
      </c>
      <c r="AG659">
        <v>9</v>
      </c>
      <c r="AH659">
        <v>6</v>
      </c>
      <c r="AI659">
        <v>7</v>
      </c>
      <c r="AJ659">
        <v>0</v>
      </c>
      <c r="AK659">
        <v>3</v>
      </c>
      <c r="AL659" t="s">
        <v>9778</v>
      </c>
      <c r="AM659" t="s">
        <v>256</v>
      </c>
      <c r="AN659" t="s">
        <v>9779</v>
      </c>
      <c r="AO659" t="s">
        <v>9780</v>
      </c>
      <c r="AP659" t="s">
        <v>74</v>
      </c>
      <c r="AQ659" t="s">
        <v>74</v>
      </c>
      <c r="AR659" t="s">
        <v>9781</v>
      </c>
      <c r="AS659" t="s">
        <v>9782</v>
      </c>
      <c r="AT659" t="s">
        <v>74</v>
      </c>
      <c r="AU659">
        <v>2005</v>
      </c>
      <c r="AV659">
        <v>44</v>
      </c>
      <c r="AW659" t="s">
        <v>74</v>
      </c>
      <c r="AX659">
        <v>3</v>
      </c>
      <c r="AY659" t="s">
        <v>74</v>
      </c>
      <c r="AZ659" t="s">
        <v>74</v>
      </c>
      <c r="BA659" t="s">
        <v>74</v>
      </c>
      <c r="BB659">
        <v>252</v>
      </c>
      <c r="BC659">
        <v>256</v>
      </c>
      <c r="BD659" t="s">
        <v>74</v>
      </c>
      <c r="BE659" t="s">
        <v>9783</v>
      </c>
      <c r="BF659" t="str">
        <f>HYPERLINK("http://dx.doi.org/10.1111/j.1440-6055.2005.00465.x","http://dx.doi.org/10.1111/j.1440-6055.2005.00465.x")</f>
        <v>http://dx.doi.org/10.1111/j.1440-6055.2005.00465.x</v>
      </c>
      <c r="BG659" t="s">
        <v>74</v>
      </c>
      <c r="BH659" t="s">
        <v>74</v>
      </c>
      <c r="BI659">
        <v>5</v>
      </c>
      <c r="BJ659" t="s">
        <v>2143</v>
      </c>
      <c r="BK659" t="s">
        <v>95</v>
      </c>
      <c r="BL659" t="s">
        <v>2143</v>
      </c>
      <c r="BM659" t="s">
        <v>9784</v>
      </c>
      <c r="BN659" t="s">
        <v>74</v>
      </c>
      <c r="BO659" t="s">
        <v>74</v>
      </c>
      <c r="BP659" t="s">
        <v>74</v>
      </c>
      <c r="BQ659" t="s">
        <v>74</v>
      </c>
      <c r="BR659" t="s">
        <v>97</v>
      </c>
      <c r="BS659" t="s">
        <v>9785</v>
      </c>
      <c r="BT659" t="str">
        <f>HYPERLINK("https%3A%2F%2Fwww.webofscience.com%2Fwos%2Fwoscc%2Ffull-record%2FWOS:000231148600005","View Full Record in Web of Science")</f>
        <v>View Full Record in Web of Science</v>
      </c>
    </row>
    <row r="660" spans="1:72" x14ac:dyDescent="0.15">
      <c r="A660" t="s">
        <v>1269</v>
      </c>
      <c r="B660" t="s">
        <v>9786</v>
      </c>
      <c r="C660" t="s">
        <v>74</v>
      </c>
      <c r="D660" t="s">
        <v>9787</v>
      </c>
      <c r="E660" t="s">
        <v>74</v>
      </c>
      <c r="F660" t="s">
        <v>9788</v>
      </c>
      <c r="G660" t="s">
        <v>74</v>
      </c>
      <c r="H660" t="s">
        <v>74</v>
      </c>
      <c r="I660" t="s">
        <v>9789</v>
      </c>
      <c r="J660" t="s">
        <v>9790</v>
      </c>
      <c r="K660" t="s">
        <v>9791</v>
      </c>
      <c r="L660" t="s">
        <v>74</v>
      </c>
      <c r="M660" t="s">
        <v>77</v>
      </c>
      <c r="N660" t="s">
        <v>365</v>
      </c>
      <c r="O660" t="s">
        <v>74</v>
      </c>
      <c r="P660" t="s">
        <v>74</v>
      </c>
      <c r="Q660" t="s">
        <v>74</v>
      </c>
      <c r="R660" t="s">
        <v>74</v>
      </c>
      <c r="S660" t="s">
        <v>74</v>
      </c>
      <c r="T660" t="s">
        <v>74</v>
      </c>
      <c r="U660" t="s">
        <v>9792</v>
      </c>
      <c r="V660" t="s">
        <v>74</v>
      </c>
      <c r="W660" t="s">
        <v>9793</v>
      </c>
      <c r="X660" t="s">
        <v>9794</v>
      </c>
      <c r="Y660" t="s">
        <v>9795</v>
      </c>
      <c r="Z660" t="s">
        <v>9796</v>
      </c>
      <c r="AA660" t="s">
        <v>74</v>
      </c>
      <c r="AB660" t="s">
        <v>74</v>
      </c>
      <c r="AC660" t="s">
        <v>74</v>
      </c>
      <c r="AD660" t="s">
        <v>74</v>
      </c>
      <c r="AE660" t="s">
        <v>74</v>
      </c>
      <c r="AF660" t="s">
        <v>74</v>
      </c>
      <c r="AG660">
        <v>282</v>
      </c>
      <c r="AH660">
        <v>37</v>
      </c>
      <c r="AI660">
        <v>46</v>
      </c>
      <c r="AJ660">
        <v>2</v>
      </c>
      <c r="AK660">
        <v>63</v>
      </c>
      <c r="AL660" t="s">
        <v>394</v>
      </c>
      <c r="AM660" t="s">
        <v>739</v>
      </c>
      <c r="AN660" t="s">
        <v>9797</v>
      </c>
      <c r="AO660" t="s">
        <v>9798</v>
      </c>
      <c r="AP660" t="s">
        <v>74</v>
      </c>
      <c r="AQ660" t="s">
        <v>9799</v>
      </c>
      <c r="AR660" t="s">
        <v>9800</v>
      </c>
      <c r="AS660" t="s">
        <v>9801</v>
      </c>
      <c r="AT660" t="s">
        <v>74</v>
      </c>
      <c r="AU660">
        <v>2005</v>
      </c>
      <c r="AV660">
        <v>43</v>
      </c>
      <c r="AW660" t="s">
        <v>74</v>
      </c>
      <c r="AX660" t="s">
        <v>74</v>
      </c>
      <c r="AY660" t="s">
        <v>74</v>
      </c>
      <c r="AZ660" t="s">
        <v>74</v>
      </c>
      <c r="BA660" t="s">
        <v>74</v>
      </c>
      <c r="BB660">
        <v>153</v>
      </c>
      <c r="BC660">
        <v>193</v>
      </c>
      <c r="BD660" t="s">
        <v>74</v>
      </c>
      <c r="BE660" t="s">
        <v>74</v>
      </c>
      <c r="BF660" t="s">
        <v>74</v>
      </c>
      <c r="BG660" t="s">
        <v>74</v>
      </c>
      <c r="BH660" t="s">
        <v>74</v>
      </c>
      <c r="BI660">
        <v>41</v>
      </c>
      <c r="BJ660" t="s">
        <v>9802</v>
      </c>
      <c r="BK660" t="s">
        <v>95</v>
      </c>
      <c r="BL660" t="s">
        <v>9803</v>
      </c>
      <c r="BM660" t="s">
        <v>9804</v>
      </c>
      <c r="BN660">
        <v>16370118</v>
      </c>
      <c r="BO660" t="s">
        <v>74</v>
      </c>
      <c r="BP660" t="s">
        <v>74</v>
      </c>
      <c r="BQ660" t="s">
        <v>74</v>
      </c>
      <c r="BR660" t="s">
        <v>97</v>
      </c>
      <c r="BS660" t="s">
        <v>9805</v>
      </c>
      <c r="BT660" t="str">
        <f>HYPERLINK("https%3A%2F%2Fwww.webofscience.com%2Fwos%2Fwoscc%2Ffull-record%2FWOS:000246316300007","View Full Record in Web of Science")</f>
        <v>View Full Record in Web of Science</v>
      </c>
    </row>
    <row r="661" spans="1:72" x14ac:dyDescent="0.15">
      <c r="A661" t="s">
        <v>72</v>
      </c>
      <c r="B661" t="s">
        <v>9806</v>
      </c>
      <c r="C661" t="s">
        <v>74</v>
      </c>
      <c r="D661" t="s">
        <v>74</v>
      </c>
      <c r="E661" t="s">
        <v>74</v>
      </c>
      <c r="F661" t="s">
        <v>9806</v>
      </c>
      <c r="G661" t="s">
        <v>74</v>
      </c>
      <c r="H661" t="s">
        <v>74</v>
      </c>
      <c r="I661" t="s">
        <v>9807</v>
      </c>
      <c r="J661" t="s">
        <v>9808</v>
      </c>
      <c r="K661" t="s">
        <v>74</v>
      </c>
      <c r="L661" t="s">
        <v>74</v>
      </c>
      <c r="M661" t="s">
        <v>77</v>
      </c>
      <c r="N661" t="s">
        <v>78</v>
      </c>
      <c r="O661" t="s">
        <v>74</v>
      </c>
      <c r="P661" t="s">
        <v>74</v>
      </c>
      <c r="Q661" t="s">
        <v>74</v>
      </c>
      <c r="R661" t="s">
        <v>74</v>
      </c>
      <c r="S661" t="s">
        <v>74</v>
      </c>
      <c r="T661" t="s">
        <v>9809</v>
      </c>
      <c r="U661" t="s">
        <v>9810</v>
      </c>
      <c r="V661" t="s">
        <v>9811</v>
      </c>
      <c r="W661" t="s">
        <v>9812</v>
      </c>
      <c r="X661" t="s">
        <v>3601</v>
      </c>
      <c r="Y661" t="s">
        <v>9813</v>
      </c>
      <c r="Z661" t="s">
        <v>9814</v>
      </c>
      <c r="AA661" t="s">
        <v>1138</v>
      </c>
      <c r="AB661" t="s">
        <v>9815</v>
      </c>
      <c r="AC661" t="s">
        <v>74</v>
      </c>
      <c r="AD661" t="s">
        <v>74</v>
      </c>
      <c r="AE661" t="s">
        <v>74</v>
      </c>
      <c r="AF661" t="s">
        <v>74</v>
      </c>
      <c r="AG661">
        <v>33</v>
      </c>
      <c r="AH661">
        <v>111</v>
      </c>
      <c r="AI661">
        <v>125</v>
      </c>
      <c r="AJ661">
        <v>1</v>
      </c>
      <c r="AK661">
        <v>47</v>
      </c>
      <c r="AL661" t="s">
        <v>2232</v>
      </c>
      <c r="AM661" t="s">
        <v>256</v>
      </c>
      <c r="AN661" t="s">
        <v>2233</v>
      </c>
      <c r="AO661" t="s">
        <v>9816</v>
      </c>
      <c r="AP661" t="s">
        <v>74</v>
      </c>
      <c r="AQ661" t="s">
        <v>74</v>
      </c>
      <c r="AR661" t="s">
        <v>9817</v>
      </c>
      <c r="AS661" t="s">
        <v>9818</v>
      </c>
      <c r="AT661" t="s">
        <v>9676</v>
      </c>
      <c r="AU661">
        <v>2005</v>
      </c>
      <c r="AV661">
        <v>121</v>
      </c>
      <c r="AW661">
        <v>2</v>
      </c>
      <c r="AX661" t="s">
        <v>74</v>
      </c>
      <c r="AY661" t="s">
        <v>74</v>
      </c>
      <c r="AZ661" t="s">
        <v>74</v>
      </c>
      <c r="BA661" t="s">
        <v>74</v>
      </c>
      <c r="BB661">
        <v>207</v>
      </c>
      <c r="BC661">
        <v>219</v>
      </c>
      <c r="BD661" t="s">
        <v>74</v>
      </c>
      <c r="BE661" t="s">
        <v>9819</v>
      </c>
      <c r="BF661" t="str">
        <f>HYPERLINK("http://dx.doi.org/10.1016/j.biocon.2004.04.020","http://dx.doi.org/10.1016/j.biocon.2004.04.020")</f>
        <v>http://dx.doi.org/10.1016/j.biocon.2004.04.020</v>
      </c>
      <c r="BG661" t="s">
        <v>74</v>
      </c>
      <c r="BH661" t="s">
        <v>74</v>
      </c>
      <c r="BI661">
        <v>13</v>
      </c>
      <c r="BJ661" t="s">
        <v>6113</v>
      </c>
      <c r="BK661" t="s">
        <v>95</v>
      </c>
      <c r="BL661" t="s">
        <v>141</v>
      </c>
      <c r="BM661" t="s">
        <v>9820</v>
      </c>
      <c r="BN661" t="s">
        <v>74</v>
      </c>
      <c r="BO661" t="s">
        <v>74</v>
      </c>
      <c r="BP661" t="s">
        <v>74</v>
      </c>
      <c r="BQ661" t="s">
        <v>74</v>
      </c>
      <c r="BR661" t="s">
        <v>97</v>
      </c>
      <c r="BS661" t="s">
        <v>9821</v>
      </c>
      <c r="BT661" t="str">
        <f>HYPERLINK("https%3A%2F%2Fwww.webofscience.com%2Fwos%2Fwoscc%2Ffull-record%2FWOS:000224135000006","View Full Record in Web of Science")</f>
        <v>View Full Record in Web of Science</v>
      </c>
    </row>
    <row r="662" spans="1:72" x14ac:dyDescent="0.15">
      <c r="A662" t="s">
        <v>8867</v>
      </c>
      <c r="B662" t="s">
        <v>9822</v>
      </c>
      <c r="C662" t="s">
        <v>74</v>
      </c>
      <c r="D662" t="s">
        <v>9823</v>
      </c>
      <c r="E662" t="s">
        <v>74</v>
      </c>
      <c r="F662" t="s">
        <v>9822</v>
      </c>
      <c r="G662" t="s">
        <v>74</v>
      </c>
      <c r="H662" t="s">
        <v>74</v>
      </c>
      <c r="I662" t="s">
        <v>9824</v>
      </c>
      <c r="J662" t="s">
        <v>9825</v>
      </c>
      <c r="K662" t="s">
        <v>9826</v>
      </c>
      <c r="L662" t="s">
        <v>74</v>
      </c>
      <c r="M662" t="s">
        <v>77</v>
      </c>
      <c r="N662" t="s">
        <v>8873</v>
      </c>
      <c r="O662" t="s">
        <v>9827</v>
      </c>
      <c r="P662" t="s">
        <v>9828</v>
      </c>
      <c r="Q662" t="s">
        <v>9829</v>
      </c>
      <c r="R662" t="s">
        <v>74</v>
      </c>
      <c r="S662" t="s">
        <v>74</v>
      </c>
      <c r="T662" t="s">
        <v>9830</v>
      </c>
      <c r="U662" t="s">
        <v>74</v>
      </c>
      <c r="V662" t="s">
        <v>9831</v>
      </c>
      <c r="W662" t="s">
        <v>9832</v>
      </c>
      <c r="X662" t="s">
        <v>9833</v>
      </c>
      <c r="Y662" t="s">
        <v>9834</v>
      </c>
      <c r="Z662" t="s">
        <v>9835</v>
      </c>
      <c r="AA662" t="s">
        <v>74</v>
      </c>
      <c r="AB662" t="s">
        <v>74</v>
      </c>
      <c r="AC662" t="s">
        <v>74</v>
      </c>
      <c r="AD662" t="s">
        <v>74</v>
      </c>
      <c r="AE662" t="s">
        <v>74</v>
      </c>
      <c r="AF662" t="s">
        <v>74</v>
      </c>
      <c r="AG662">
        <v>33</v>
      </c>
      <c r="AH662">
        <v>0</v>
      </c>
      <c r="AI662">
        <v>0</v>
      </c>
      <c r="AJ662">
        <v>0</v>
      </c>
      <c r="AK662">
        <v>7</v>
      </c>
      <c r="AL662" t="s">
        <v>9655</v>
      </c>
      <c r="AM662" t="s">
        <v>9656</v>
      </c>
      <c r="AN662" t="s">
        <v>9657</v>
      </c>
      <c r="AO662" t="s">
        <v>9658</v>
      </c>
      <c r="AP662" t="s">
        <v>9836</v>
      </c>
      <c r="AQ662" t="s">
        <v>9837</v>
      </c>
      <c r="AR662" t="s">
        <v>9838</v>
      </c>
      <c r="AS662" t="s">
        <v>74</v>
      </c>
      <c r="AT662" t="s">
        <v>74</v>
      </c>
      <c r="AU662">
        <v>2005</v>
      </c>
      <c r="AV662">
        <v>5797</v>
      </c>
      <c r="AW662" t="s">
        <v>74</v>
      </c>
      <c r="AX662" t="s">
        <v>74</v>
      </c>
      <c r="AY662" t="s">
        <v>74</v>
      </c>
      <c r="AZ662" t="s">
        <v>74</v>
      </c>
      <c r="BA662" t="s">
        <v>74</v>
      </c>
      <c r="BB662">
        <v>182</v>
      </c>
      <c r="BC662">
        <v>192</v>
      </c>
      <c r="BD662" t="s">
        <v>74</v>
      </c>
      <c r="BE662" t="s">
        <v>9839</v>
      </c>
      <c r="BF662" t="str">
        <f>HYPERLINK("http://dx.doi.org/10.1117/12.604424","http://dx.doi.org/10.1117/12.604424")</f>
        <v>http://dx.doi.org/10.1117/12.604424</v>
      </c>
      <c r="BG662" t="s">
        <v>74</v>
      </c>
      <c r="BH662" t="s">
        <v>74</v>
      </c>
      <c r="BI662">
        <v>11</v>
      </c>
      <c r="BJ662" t="s">
        <v>9840</v>
      </c>
      <c r="BK662" t="s">
        <v>8890</v>
      </c>
      <c r="BL662" t="s">
        <v>9840</v>
      </c>
      <c r="BM662" t="s">
        <v>9841</v>
      </c>
      <c r="BN662" t="s">
        <v>74</v>
      </c>
      <c r="BO662" t="s">
        <v>74</v>
      </c>
      <c r="BP662" t="s">
        <v>74</v>
      </c>
      <c r="BQ662" t="s">
        <v>74</v>
      </c>
      <c r="BR662" t="s">
        <v>97</v>
      </c>
      <c r="BS662" t="s">
        <v>9842</v>
      </c>
      <c r="BT662" t="str">
        <f>HYPERLINK("https%3A%2F%2Fwww.webofscience.com%2Fwos%2Fwoscc%2Ffull-record%2FWOS:000230979900020","View Full Record in Web of Science")</f>
        <v>View Full Record in Web of Science</v>
      </c>
    </row>
    <row r="663" spans="1:72" x14ac:dyDescent="0.15">
      <c r="A663" t="s">
        <v>72</v>
      </c>
      <c r="B663" t="s">
        <v>9843</v>
      </c>
      <c r="C663" t="s">
        <v>74</v>
      </c>
      <c r="D663" t="s">
        <v>74</v>
      </c>
      <c r="E663" t="s">
        <v>74</v>
      </c>
      <c r="F663" t="s">
        <v>9843</v>
      </c>
      <c r="G663" t="s">
        <v>74</v>
      </c>
      <c r="H663" t="s">
        <v>74</v>
      </c>
      <c r="I663" t="s">
        <v>9844</v>
      </c>
      <c r="J663" t="s">
        <v>9845</v>
      </c>
      <c r="K663" t="s">
        <v>74</v>
      </c>
      <c r="L663" t="s">
        <v>74</v>
      </c>
      <c r="M663" t="s">
        <v>77</v>
      </c>
      <c r="N663" t="s">
        <v>78</v>
      </c>
      <c r="O663" t="s">
        <v>74</v>
      </c>
      <c r="P663" t="s">
        <v>74</v>
      </c>
      <c r="Q663" t="s">
        <v>74</v>
      </c>
      <c r="R663" t="s">
        <v>74</v>
      </c>
      <c r="S663" t="s">
        <v>74</v>
      </c>
      <c r="T663" t="s">
        <v>9846</v>
      </c>
      <c r="U663" t="s">
        <v>9847</v>
      </c>
      <c r="V663" t="s">
        <v>9848</v>
      </c>
      <c r="W663" t="s">
        <v>9849</v>
      </c>
      <c r="X663" t="s">
        <v>9850</v>
      </c>
      <c r="Y663" t="s">
        <v>4672</v>
      </c>
      <c r="Z663" t="s">
        <v>9851</v>
      </c>
      <c r="AA663" t="s">
        <v>85</v>
      </c>
      <c r="AB663" t="s">
        <v>4674</v>
      </c>
      <c r="AC663" t="s">
        <v>74</v>
      </c>
      <c r="AD663" t="s">
        <v>74</v>
      </c>
      <c r="AE663" t="s">
        <v>74</v>
      </c>
      <c r="AF663" t="s">
        <v>74</v>
      </c>
      <c r="AG663">
        <v>17</v>
      </c>
      <c r="AH663">
        <v>26</v>
      </c>
      <c r="AI663">
        <v>30</v>
      </c>
      <c r="AJ663">
        <v>0</v>
      </c>
      <c r="AK663">
        <v>23</v>
      </c>
      <c r="AL663" t="s">
        <v>9852</v>
      </c>
      <c r="AM663" t="s">
        <v>9853</v>
      </c>
      <c r="AN663" t="s">
        <v>9854</v>
      </c>
      <c r="AO663" t="s">
        <v>9855</v>
      </c>
      <c r="AP663" t="s">
        <v>9856</v>
      </c>
      <c r="AQ663" t="s">
        <v>74</v>
      </c>
      <c r="AR663" t="s">
        <v>9857</v>
      </c>
      <c r="AS663" t="s">
        <v>9858</v>
      </c>
      <c r="AT663" t="s">
        <v>74</v>
      </c>
      <c r="AU663">
        <v>2005</v>
      </c>
      <c r="AV663">
        <v>48</v>
      </c>
      <c r="AW663">
        <v>4</v>
      </c>
      <c r="AX663" t="s">
        <v>74</v>
      </c>
      <c r="AY663" t="s">
        <v>74</v>
      </c>
      <c r="AZ663" t="s">
        <v>74</v>
      </c>
      <c r="BA663" t="s">
        <v>74</v>
      </c>
      <c r="BB663">
        <v>318</v>
      </c>
      <c r="BC663">
        <v>322</v>
      </c>
      <c r="BD663" t="s">
        <v>74</v>
      </c>
      <c r="BE663" t="s">
        <v>9859</v>
      </c>
      <c r="BF663" t="str">
        <f>HYPERLINK("http://dx.doi.org/10.1515/BOT.2005.041","http://dx.doi.org/10.1515/BOT.2005.041")</f>
        <v>http://dx.doi.org/10.1515/BOT.2005.041</v>
      </c>
      <c r="BG663" t="s">
        <v>74</v>
      </c>
      <c r="BH663" t="s">
        <v>74</v>
      </c>
      <c r="BI663">
        <v>5</v>
      </c>
      <c r="BJ663" t="s">
        <v>94</v>
      </c>
      <c r="BK663" t="s">
        <v>95</v>
      </c>
      <c r="BL663" t="s">
        <v>94</v>
      </c>
      <c r="BM663" t="s">
        <v>9860</v>
      </c>
      <c r="BN663" t="s">
        <v>74</v>
      </c>
      <c r="BO663" t="s">
        <v>74</v>
      </c>
      <c r="BP663" t="s">
        <v>74</v>
      </c>
      <c r="BQ663" t="s">
        <v>74</v>
      </c>
      <c r="BR663" t="s">
        <v>97</v>
      </c>
      <c r="BS663" t="s">
        <v>9861</v>
      </c>
      <c r="BT663" t="str">
        <f>HYPERLINK("https%3A%2F%2Fwww.webofscience.com%2Fwos%2Fwoscc%2Ffull-record%2FWOS:000233117400007","View Full Record in Web of Science")</f>
        <v>View Full Record in Web of Science</v>
      </c>
    </row>
    <row r="664" spans="1:72" x14ac:dyDescent="0.15">
      <c r="A664" t="s">
        <v>72</v>
      </c>
      <c r="B664" t="s">
        <v>9862</v>
      </c>
      <c r="C664" t="s">
        <v>74</v>
      </c>
      <c r="D664" t="s">
        <v>74</v>
      </c>
      <c r="E664" t="s">
        <v>74</v>
      </c>
      <c r="F664" t="s">
        <v>9862</v>
      </c>
      <c r="G664" t="s">
        <v>74</v>
      </c>
      <c r="H664" t="s">
        <v>74</v>
      </c>
      <c r="I664" t="s">
        <v>9863</v>
      </c>
      <c r="J664" t="s">
        <v>4384</v>
      </c>
      <c r="K664" t="s">
        <v>74</v>
      </c>
      <c r="L664" t="s">
        <v>74</v>
      </c>
      <c r="M664" t="s">
        <v>77</v>
      </c>
      <c r="N664" t="s">
        <v>365</v>
      </c>
      <c r="O664" t="s">
        <v>74</v>
      </c>
      <c r="P664" t="s">
        <v>74</v>
      </c>
      <c r="Q664" t="s">
        <v>74</v>
      </c>
      <c r="R664" t="s">
        <v>74</v>
      </c>
      <c r="S664" t="s">
        <v>74</v>
      </c>
      <c r="T664" t="s">
        <v>74</v>
      </c>
      <c r="U664" t="s">
        <v>9864</v>
      </c>
      <c r="V664" t="s">
        <v>9865</v>
      </c>
      <c r="W664" t="s">
        <v>9866</v>
      </c>
      <c r="X664" t="s">
        <v>9867</v>
      </c>
      <c r="Y664" t="s">
        <v>9868</v>
      </c>
      <c r="Z664" t="s">
        <v>9869</v>
      </c>
      <c r="AA664" t="s">
        <v>9870</v>
      </c>
      <c r="AB664" t="s">
        <v>74</v>
      </c>
      <c r="AC664" t="s">
        <v>74</v>
      </c>
      <c r="AD664" t="s">
        <v>74</v>
      </c>
      <c r="AE664" t="s">
        <v>74</v>
      </c>
      <c r="AF664" t="s">
        <v>74</v>
      </c>
      <c r="AG664">
        <v>265</v>
      </c>
      <c r="AH664">
        <v>169</v>
      </c>
      <c r="AI664">
        <v>194</v>
      </c>
      <c r="AJ664">
        <v>0</v>
      </c>
      <c r="AK664">
        <v>67</v>
      </c>
      <c r="AL664" t="s">
        <v>4388</v>
      </c>
      <c r="AM664" t="s">
        <v>4389</v>
      </c>
      <c r="AN664" t="s">
        <v>4390</v>
      </c>
      <c r="AO664" t="s">
        <v>4391</v>
      </c>
      <c r="AP664" t="s">
        <v>4392</v>
      </c>
      <c r="AQ664" t="s">
        <v>74</v>
      </c>
      <c r="AR664" t="s">
        <v>4393</v>
      </c>
      <c r="AS664" t="s">
        <v>4394</v>
      </c>
      <c r="AT664" t="s">
        <v>9676</v>
      </c>
      <c r="AU664">
        <v>2005</v>
      </c>
      <c r="AV664">
        <v>83</v>
      </c>
      <c r="AW664">
        <v>1</v>
      </c>
      <c r="AX664" t="s">
        <v>74</v>
      </c>
      <c r="AY664" t="s">
        <v>74</v>
      </c>
      <c r="AZ664" t="s">
        <v>74</v>
      </c>
      <c r="BA664" t="s">
        <v>74</v>
      </c>
      <c r="BB664">
        <v>34</v>
      </c>
      <c r="BC664">
        <v>50</v>
      </c>
      <c r="BD664" t="s">
        <v>74</v>
      </c>
      <c r="BE664" t="s">
        <v>9871</v>
      </c>
      <c r="BF664" t="str">
        <f>HYPERLINK("http://dx.doi.org/10.1139/Z04-156","http://dx.doi.org/10.1139/Z04-156")</f>
        <v>http://dx.doi.org/10.1139/Z04-156</v>
      </c>
      <c r="BG664" t="s">
        <v>74</v>
      </c>
      <c r="BH664" t="s">
        <v>74</v>
      </c>
      <c r="BI664">
        <v>17</v>
      </c>
      <c r="BJ664" t="s">
        <v>2430</v>
      </c>
      <c r="BK664" t="s">
        <v>95</v>
      </c>
      <c r="BL664" t="s">
        <v>2430</v>
      </c>
      <c r="BM664" t="s">
        <v>9872</v>
      </c>
      <c r="BN664" t="s">
        <v>74</v>
      </c>
      <c r="BO664" t="s">
        <v>74</v>
      </c>
      <c r="BP664" t="s">
        <v>74</v>
      </c>
      <c r="BQ664" t="s">
        <v>74</v>
      </c>
      <c r="BR664" t="s">
        <v>97</v>
      </c>
      <c r="BS664" t="s">
        <v>9873</v>
      </c>
      <c r="BT664" t="str">
        <f>HYPERLINK("https%3A%2F%2Fwww.webofscience.com%2Fwos%2Fwoscc%2Ffull-record%2FWOS:000229412000004","View Full Record in Web of Science")</f>
        <v>View Full Record in Web of Science</v>
      </c>
    </row>
    <row r="665" spans="1:72" x14ac:dyDescent="0.15">
      <c r="A665" t="s">
        <v>72</v>
      </c>
      <c r="B665" t="s">
        <v>9874</v>
      </c>
      <c r="C665" t="s">
        <v>74</v>
      </c>
      <c r="D665" t="s">
        <v>74</v>
      </c>
      <c r="E665" t="s">
        <v>74</v>
      </c>
      <c r="F665" t="s">
        <v>9874</v>
      </c>
      <c r="G665" t="s">
        <v>74</v>
      </c>
      <c r="H665" t="s">
        <v>74</v>
      </c>
      <c r="I665" t="s">
        <v>9875</v>
      </c>
      <c r="J665" t="s">
        <v>9876</v>
      </c>
      <c r="K665" t="s">
        <v>74</v>
      </c>
      <c r="L665" t="s">
        <v>74</v>
      </c>
      <c r="M665" t="s">
        <v>77</v>
      </c>
      <c r="N665" t="s">
        <v>78</v>
      </c>
      <c r="O665" t="s">
        <v>74</v>
      </c>
      <c r="P665" t="s">
        <v>74</v>
      </c>
      <c r="Q665" t="s">
        <v>74</v>
      </c>
      <c r="R665" t="s">
        <v>74</v>
      </c>
      <c r="S665" t="s">
        <v>74</v>
      </c>
      <c r="T665" t="s">
        <v>9877</v>
      </c>
      <c r="U665" t="s">
        <v>9878</v>
      </c>
      <c r="V665" t="s">
        <v>9879</v>
      </c>
      <c r="W665" t="s">
        <v>9880</v>
      </c>
      <c r="X665" t="s">
        <v>9881</v>
      </c>
      <c r="Y665" t="s">
        <v>9882</v>
      </c>
      <c r="Z665" t="s">
        <v>9883</v>
      </c>
      <c r="AA665" t="s">
        <v>1149</v>
      </c>
      <c r="AB665" t="s">
        <v>1150</v>
      </c>
      <c r="AC665" t="s">
        <v>74</v>
      </c>
      <c r="AD665" t="s">
        <v>74</v>
      </c>
      <c r="AE665" t="s">
        <v>74</v>
      </c>
      <c r="AF665" t="s">
        <v>74</v>
      </c>
      <c r="AG665">
        <v>14</v>
      </c>
      <c r="AH665">
        <v>11</v>
      </c>
      <c r="AI665">
        <v>16</v>
      </c>
      <c r="AJ665">
        <v>0</v>
      </c>
      <c r="AK665">
        <v>3</v>
      </c>
      <c r="AL665" t="s">
        <v>9884</v>
      </c>
      <c r="AM665" t="s">
        <v>9885</v>
      </c>
      <c r="AN665" t="s">
        <v>9886</v>
      </c>
      <c r="AO665" t="s">
        <v>9887</v>
      </c>
      <c r="AP665" t="s">
        <v>74</v>
      </c>
      <c r="AQ665" t="s">
        <v>74</v>
      </c>
      <c r="AR665" t="s">
        <v>9888</v>
      </c>
      <c r="AS665" t="s">
        <v>9889</v>
      </c>
      <c r="AT665" t="s">
        <v>74</v>
      </c>
      <c r="AU665">
        <v>2005</v>
      </c>
      <c r="AV665">
        <v>12</v>
      </c>
      <c r="AW665" t="s">
        <v>74</v>
      </c>
      <c r="AX665" t="s">
        <v>74</v>
      </c>
      <c r="AY665" t="s">
        <v>74</v>
      </c>
      <c r="AZ665" t="s">
        <v>74</v>
      </c>
      <c r="BA665" t="s">
        <v>74</v>
      </c>
      <c r="BB665">
        <v>1</v>
      </c>
      <c r="BC665">
        <v>28</v>
      </c>
      <c r="BD665" t="s">
        <v>74</v>
      </c>
      <c r="BE665" t="s">
        <v>74</v>
      </c>
      <c r="BF665" t="s">
        <v>74</v>
      </c>
      <c r="BG665" t="s">
        <v>74</v>
      </c>
      <c r="BH665" t="s">
        <v>74</v>
      </c>
      <c r="BI665">
        <v>28</v>
      </c>
      <c r="BJ665" t="s">
        <v>1616</v>
      </c>
      <c r="BK665" t="s">
        <v>95</v>
      </c>
      <c r="BL665" t="s">
        <v>1616</v>
      </c>
      <c r="BM665" t="s">
        <v>9890</v>
      </c>
      <c r="BN665" t="s">
        <v>74</v>
      </c>
      <c r="BO665" t="s">
        <v>74</v>
      </c>
      <c r="BP665" t="s">
        <v>74</v>
      </c>
      <c r="BQ665" t="s">
        <v>74</v>
      </c>
      <c r="BR665" t="s">
        <v>97</v>
      </c>
      <c r="BS665" t="s">
        <v>9891</v>
      </c>
      <c r="BT665" t="str">
        <f>HYPERLINK("https%3A%2F%2Fwww.webofscience.com%2Fwos%2Fwoscc%2Ffull-record%2FWOS:000233386600002","View Full Record in Web of Science")</f>
        <v>View Full Record in Web of Science</v>
      </c>
    </row>
    <row r="666" spans="1:72" x14ac:dyDescent="0.15">
      <c r="A666" t="s">
        <v>72</v>
      </c>
      <c r="B666" t="s">
        <v>9892</v>
      </c>
      <c r="C666" t="s">
        <v>74</v>
      </c>
      <c r="D666" t="s">
        <v>74</v>
      </c>
      <c r="E666" t="s">
        <v>74</v>
      </c>
      <c r="F666" t="s">
        <v>9892</v>
      </c>
      <c r="G666" t="s">
        <v>74</v>
      </c>
      <c r="H666" t="s">
        <v>74</v>
      </c>
      <c r="I666" t="s">
        <v>9893</v>
      </c>
      <c r="J666" t="s">
        <v>9876</v>
      </c>
      <c r="K666" t="s">
        <v>74</v>
      </c>
      <c r="L666" t="s">
        <v>74</v>
      </c>
      <c r="M666" t="s">
        <v>77</v>
      </c>
      <c r="N666" t="s">
        <v>78</v>
      </c>
      <c r="O666" t="s">
        <v>74</v>
      </c>
      <c r="P666" t="s">
        <v>74</v>
      </c>
      <c r="Q666" t="s">
        <v>74</v>
      </c>
      <c r="R666" t="s">
        <v>74</v>
      </c>
      <c r="S666" t="s">
        <v>74</v>
      </c>
      <c r="T666" t="s">
        <v>9894</v>
      </c>
      <c r="U666" t="s">
        <v>9895</v>
      </c>
      <c r="V666" t="s">
        <v>9896</v>
      </c>
      <c r="W666" t="s">
        <v>9897</v>
      </c>
      <c r="X666" t="s">
        <v>9898</v>
      </c>
      <c r="Y666" t="s">
        <v>9899</v>
      </c>
      <c r="Z666" t="s">
        <v>9900</v>
      </c>
      <c r="AA666" t="s">
        <v>74</v>
      </c>
      <c r="AB666" t="s">
        <v>74</v>
      </c>
      <c r="AC666" t="s">
        <v>74</v>
      </c>
      <c r="AD666" t="s">
        <v>74</v>
      </c>
      <c r="AE666" t="s">
        <v>74</v>
      </c>
      <c r="AF666" t="s">
        <v>74</v>
      </c>
      <c r="AG666">
        <v>39</v>
      </c>
      <c r="AH666">
        <v>17</v>
      </c>
      <c r="AI666">
        <v>19</v>
      </c>
      <c r="AJ666">
        <v>1</v>
      </c>
      <c r="AK666">
        <v>4</v>
      </c>
      <c r="AL666" t="s">
        <v>9884</v>
      </c>
      <c r="AM666" t="s">
        <v>9885</v>
      </c>
      <c r="AN666" t="s">
        <v>9886</v>
      </c>
      <c r="AO666" t="s">
        <v>9887</v>
      </c>
      <c r="AP666" t="s">
        <v>74</v>
      </c>
      <c r="AQ666" t="s">
        <v>74</v>
      </c>
      <c r="AR666" t="s">
        <v>9888</v>
      </c>
      <c r="AS666" t="s">
        <v>9889</v>
      </c>
      <c r="AT666" t="s">
        <v>74</v>
      </c>
      <c r="AU666">
        <v>2005</v>
      </c>
      <c r="AV666">
        <v>12</v>
      </c>
      <c r="AW666" t="s">
        <v>74</v>
      </c>
      <c r="AX666" t="s">
        <v>74</v>
      </c>
      <c r="AY666" t="s">
        <v>74</v>
      </c>
      <c r="AZ666" t="s">
        <v>74</v>
      </c>
      <c r="BA666" t="s">
        <v>74</v>
      </c>
      <c r="BB666">
        <v>43</v>
      </c>
      <c r="BC666">
        <v>51</v>
      </c>
      <c r="BD666" t="s">
        <v>74</v>
      </c>
      <c r="BE666" t="s">
        <v>74</v>
      </c>
      <c r="BF666" t="s">
        <v>74</v>
      </c>
      <c r="BG666" t="s">
        <v>74</v>
      </c>
      <c r="BH666" t="s">
        <v>74</v>
      </c>
      <c r="BI666">
        <v>9</v>
      </c>
      <c r="BJ666" t="s">
        <v>1616</v>
      </c>
      <c r="BK666" t="s">
        <v>95</v>
      </c>
      <c r="BL666" t="s">
        <v>1616</v>
      </c>
      <c r="BM666" t="s">
        <v>9890</v>
      </c>
      <c r="BN666" t="s">
        <v>74</v>
      </c>
      <c r="BO666" t="s">
        <v>74</v>
      </c>
      <c r="BP666" t="s">
        <v>74</v>
      </c>
      <c r="BQ666" t="s">
        <v>74</v>
      </c>
      <c r="BR666" t="s">
        <v>97</v>
      </c>
      <c r="BS666" t="s">
        <v>9901</v>
      </c>
      <c r="BT666" t="str">
        <f>HYPERLINK("https%3A%2F%2Fwww.webofscience.com%2Fwos%2Fwoscc%2Ffull-record%2FWOS:000233386600004","View Full Record in Web of Science")</f>
        <v>View Full Record in Web of Science</v>
      </c>
    </row>
    <row r="667" spans="1:72" x14ac:dyDescent="0.15">
      <c r="A667" t="s">
        <v>72</v>
      </c>
      <c r="B667" t="s">
        <v>9902</v>
      </c>
      <c r="C667" t="s">
        <v>74</v>
      </c>
      <c r="D667" t="s">
        <v>74</v>
      </c>
      <c r="E667" t="s">
        <v>74</v>
      </c>
      <c r="F667" t="s">
        <v>9902</v>
      </c>
      <c r="G667" t="s">
        <v>74</v>
      </c>
      <c r="H667" t="s">
        <v>74</v>
      </c>
      <c r="I667" t="s">
        <v>9903</v>
      </c>
      <c r="J667" t="s">
        <v>9876</v>
      </c>
      <c r="K667" t="s">
        <v>74</v>
      </c>
      <c r="L667" t="s">
        <v>74</v>
      </c>
      <c r="M667" t="s">
        <v>77</v>
      </c>
      <c r="N667" t="s">
        <v>78</v>
      </c>
      <c r="O667" t="s">
        <v>74</v>
      </c>
      <c r="P667" t="s">
        <v>74</v>
      </c>
      <c r="Q667" t="s">
        <v>74</v>
      </c>
      <c r="R667" t="s">
        <v>74</v>
      </c>
      <c r="S667" t="s">
        <v>74</v>
      </c>
      <c r="T667" t="s">
        <v>9904</v>
      </c>
      <c r="U667" t="s">
        <v>74</v>
      </c>
      <c r="V667" t="s">
        <v>9905</v>
      </c>
      <c r="W667" t="s">
        <v>9906</v>
      </c>
      <c r="X667" t="s">
        <v>74</v>
      </c>
      <c r="Y667" t="s">
        <v>9907</v>
      </c>
      <c r="Z667" t="s">
        <v>9908</v>
      </c>
      <c r="AA667" t="s">
        <v>74</v>
      </c>
      <c r="AB667" t="s">
        <v>74</v>
      </c>
      <c r="AC667" t="s">
        <v>74</v>
      </c>
      <c r="AD667" t="s">
        <v>74</v>
      </c>
      <c r="AE667" t="s">
        <v>74</v>
      </c>
      <c r="AF667" t="s">
        <v>74</v>
      </c>
      <c r="AG667">
        <v>24</v>
      </c>
      <c r="AH667">
        <v>4</v>
      </c>
      <c r="AI667">
        <v>6</v>
      </c>
      <c r="AJ667">
        <v>0</v>
      </c>
      <c r="AK667">
        <v>5</v>
      </c>
      <c r="AL667" t="s">
        <v>9884</v>
      </c>
      <c r="AM667" t="s">
        <v>9885</v>
      </c>
      <c r="AN667" t="s">
        <v>9886</v>
      </c>
      <c r="AO667" t="s">
        <v>9887</v>
      </c>
      <c r="AP667" t="s">
        <v>74</v>
      </c>
      <c r="AQ667" t="s">
        <v>74</v>
      </c>
      <c r="AR667" t="s">
        <v>9888</v>
      </c>
      <c r="AS667" t="s">
        <v>9889</v>
      </c>
      <c r="AT667" t="s">
        <v>74</v>
      </c>
      <c r="AU667">
        <v>2005</v>
      </c>
      <c r="AV667">
        <v>12</v>
      </c>
      <c r="AW667" t="s">
        <v>74</v>
      </c>
      <c r="AX667" t="s">
        <v>74</v>
      </c>
      <c r="AY667" t="s">
        <v>74</v>
      </c>
      <c r="AZ667" t="s">
        <v>74</v>
      </c>
      <c r="BA667" t="s">
        <v>74</v>
      </c>
      <c r="BB667">
        <v>81</v>
      </c>
      <c r="BC667">
        <v>98</v>
      </c>
      <c r="BD667" t="s">
        <v>74</v>
      </c>
      <c r="BE667" t="s">
        <v>74</v>
      </c>
      <c r="BF667" t="s">
        <v>74</v>
      </c>
      <c r="BG667" t="s">
        <v>74</v>
      </c>
      <c r="BH667" t="s">
        <v>74</v>
      </c>
      <c r="BI667">
        <v>18</v>
      </c>
      <c r="BJ667" t="s">
        <v>1616</v>
      </c>
      <c r="BK667" t="s">
        <v>95</v>
      </c>
      <c r="BL667" t="s">
        <v>1616</v>
      </c>
      <c r="BM667" t="s">
        <v>9890</v>
      </c>
      <c r="BN667" t="s">
        <v>74</v>
      </c>
      <c r="BO667" t="s">
        <v>74</v>
      </c>
      <c r="BP667" t="s">
        <v>74</v>
      </c>
      <c r="BQ667" t="s">
        <v>74</v>
      </c>
      <c r="BR667" t="s">
        <v>97</v>
      </c>
      <c r="BS667" t="s">
        <v>9909</v>
      </c>
      <c r="BT667" t="str">
        <f>HYPERLINK("https%3A%2F%2Fwww.webofscience.com%2Fwos%2Fwoscc%2Ffull-record%2FWOS:000233386600006","View Full Record in Web of Science")</f>
        <v>View Full Record in Web of Science</v>
      </c>
    </row>
    <row r="668" spans="1:72" x14ac:dyDescent="0.15">
      <c r="A668" t="s">
        <v>72</v>
      </c>
      <c r="B668" t="s">
        <v>9910</v>
      </c>
      <c r="C668" t="s">
        <v>74</v>
      </c>
      <c r="D668" t="s">
        <v>74</v>
      </c>
      <c r="E668" t="s">
        <v>74</v>
      </c>
      <c r="F668" t="s">
        <v>9910</v>
      </c>
      <c r="G668" t="s">
        <v>74</v>
      </c>
      <c r="H668" t="s">
        <v>74</v>
      </c>
      <c r="I668" t="s">
        <v>9911</v>
      </c>
      <c r="J668" t="s">
        <v>9876</v>
      </c>
      <c r="K668" t="s">
        <v>74</v>
      </c>
      <c r="L668" t="s">
        <v>74</v>
      </c>
      <c r="M668" t="s">
        <v>77</v>
      </c>
      <c r="N668" t="s">
        <v>78</v>
      </c>
      <c r="O668" t="s">
        <v>74</v>
      </c>
      <c r="P668" t="s">
        <v>74</v>
      </c>
      <c r="Q668" t="s">
        <v>74</v>
      </c>
      <c r="R668" t="s">
        <v>74</v>
      </c>
      <c r="S668" t="s">
        <v>74</v>
      </c>
      <c r="T668" t="s">
        <v>9912</v>
      </c>
      <c r="U668" t="s">
        <v>9913</v>
      </c>
      <c r="V668" t="s">
        <v>9914</v>
      </c>
      <c r="W668" t="s">
        <v>3600</v>
      </c>
      <c r="X668" t="s">
        <v>3601</v>
      </c>
      <c r="Y668" t="s">
        <v>9882</v>
      </c>
      <c r="Z668" t="s">
        <v>9915</v>
      </c>
      <c r="AA668" t="s">
        <v>74</v>
      </c>
      <c r="AB668" t="s">
        <v>74</v>
      </c>
      <c r="AC668" t="s">
        <v>74</v>
      </c>
      <c r="AD668" t="s">
        <v>74</v>
      </c>
      <c r="AE668" t="s">
        <v>74</v>
      </c>
      <c r="AF668" t="s">
        <v>74</v>
      </c>
      <c r="AG668">
        <v>24</v>
      </c>
      <c r="AH668">
        <v>12</v>
      </c>
      <c r="AI668">
        <v>14</v>
      </c>
      <c r="AJ668">
        <v>0</v>
      </c>
      <c r="AK668">
        <v>3</v>
      </c>
      <c r="AL668" t="s">
        <v>9884</v>
      </c>
      <c r="AM668" t="s">
        <v>9885</v>
      </c>
      <c r="AN668" t="s">
        <v>9886</v>
      </c>
      <c r="AO668" t="s">
        <v>9887</v>
      </c>
      <c r="AP668" t="s">
        <v>74</v>
      </c>
      <c r="AQ668" t="s">
        <v>74</v>
      </c>
      <c r="AR668" t="s">
        <v>9888</v>
      </c>
      <c r="AS668" t="s">
        <v>9889</v>
      </c>
      <c r="AT668" t="s">
        <v>74</v>
      </c>
      <c r="AU668">
        <v>2005</v>
      </c>
      <c r="AV668">
        <v>12</v>
      </c>
      <c r="AW668" t="s">
        <v>74</v>
      </c>
      <c r="AX668" t="s">
        <v>74</v>
      </c>
      <c r="AY668" t="s">
        <v>74</v>
      </c>
      <c r="AZ668" t="s">
        <v>74</v>
      </c>
      <c r="BA668" t="s">
        <v>74</v>
      </c>
      <c r="BB668">
        <v>99</v>
      </c>
      <c r="BC668">
        <v>117</v>
      </c>
      <c r="BD668" t="s">
        <v>74</v>
      </c>
      <c r="BE668" t="s">
        <v>74</v>
      </c>
      <c r="BF668" t="s">
        <v>74</v>
      </c>
      <c r="BG668" t="s">
        <v>74</v>
      </c>
      <c r="BH668" t="s">
        <v>74</v>
      </c>
      <c r="BI668">
        <v>19</v>
      </c>
      <c r="BJ668" t="s">
        <v>1616</v>
      </c>
      <c r="BK668" t="s">
        <v>95</v>
      </c>
      <c r="BL668" t="s">
        <v>1616</v>
      </c>
      <c r="BM668" t="s">
        <v>9890</v>
      </c>
      <c r="BN668" t="s">
        <v>74</v>
      </c>
      <c r="BO668" t="s">
        <v>74</v>
      </c>
      <c r="BP668" t="s">
        <v>74</v>
      </c>
      <c r="BQ668" t="s">
        <v>74</v>
      </c>
      <c r="BR668" t="s">
        <v>97</v>
      </c>
      <c r="BS668" t="s">
        <v>9916</v>
      </c>
      <c r="BT668" t="str">
        <f>HYPERLINK("https%3A%2F%2Fwww.webofscience.com%2Fwos%2Fwoscc%2Ffull-record%2FWOS:000233386600007","View Full Record in Web of Science")</f>
        <v>View Full Record in Web of Science</v>
      </c>
    </row>
    <row r="669" spans="1:72" x14ac:dyDescent="0.15">
      <c r="A669" t="s">
        <v>72</v>
      </c>
      <c r="B669" t="s">
        <v>9917</v>
      </c>
      <c r="C669" t="s">
        <v>74</v>
      </c>
      <c r="D669" t="s">
        <v>74</v>
      </c>
      <c r="E669" t="s">
        <v>74</v>
      </c>
      <c r="F669" t="s">
        <v>9917</v>
      </c>
      <c r="G669" t="s">
        <v>74</v>
      </c>
      <c r="H669" t="s">
        <v>74</v>
      </c>
      <c r="I669" t="s">
        <v>9918</v>
      </c>
      <c r="J669" t="s">
        <v>9876</v>
      </c>
      <c r="K669" t="s">
        <v>74</v>
      </c>
      <c r="L669" t="s">
        <v>74</v>
      </c>
      <c r="M669" t="s">
        <v>77</v>
      </c>
      <c r="N669" t="s">
        <v>78</v>
      </c>
      <c r="O669" t="s">
        <v>74</v>
      </c>
      <c r="P669" t="s">
        <v>74</v>
      </c>
      <c r="Q669" t="s">
        <v>74</v>
      </c>
      <c r="R669" t="s">
        <v>74</v>
      </c>
      <c r="S669" t="s">
        <v>74</v>
      </c>
      <c r="T669" t="s">
        <v>9919</v>
      </c>
      <c r="U669" t="s">
        <v>74</v>
      </c>
      <c r="V669" t="s">
        <v>9920</v>
      </c>
      <c r="W669" t="s">
        <v>3600</v>
      </c>
      <c r="X669" t="s">
        <v>3601</v>
      </c>
      <c r="Y669" t="s">
        <v>9921</v>
      </c>
      <c r="Z669" t="s">
        <v>9922</v>
      </c>
      <c r="AA669" t="s">
        <v>74</v>
      </c>
      <c r="AB669" t="s">
        <v>74</v>
      </c>
      <c r="AC669" t="s">
        <v>74</v>
      </c>
      <c r="AD669" t="s">
        <v>74</v>
      </c>
      <c r="AE669" t="s">
        <v>74</v>
      </c>
      <c r="AF669" t="s">
        <v>74</v>
      </c>
      <c r="AG669">
        <v>1</v>
      </c>
      <c r="AH669">
        <v>1</v>
      </c>
      <c r="AI669">
        <v>1</v>
      </c>
      <c r="AJ669">
        <v>0</v>
      </c>
      <c r="AK669">
        <v>4</v>
      </c>
      <c r="AL669" t="s">
        <v>9884</v>
      </c>
      <c r="AM669" t="s">
        <v>9885</v>
      </c>
      <c r="AN669" t="s">
        <v>9886</v>
      </c>
      <c r="AO669" t="s">
        <v>9887</v>
      </c>
      <c r="AP669" t="s">
        <v>74</v>
      </c>
      <c r="AQ669" t="s">
        <v>74</v>
      </c>
      <c r="AR669" t="s">
        <v>9888</v>
      </c>
      <c r="AS669" t="s">
        <v>9889</v>
      </c>
      <c r="AT669" t="s">
        <v>74</v>
      </c>
      <c r="AU669">
        <v>2005</v>
      </c>
      <c r="AV669">
        <v>12</v>
      </c>
      <c r="AW669" t="s">
        <v>74</v>
      </c>
      <c r="AX669" t="s">
        <v>74</v>
      </c>
      <c r="AY669" t="s">
        <v>74</v>
      </c>
      <c r="AZ669" t="s">
        <v>74</v>
      </c>
      <c r="BA669" t="s">
        <v>74</v>
      </c>
      <c r="BB669">
        <v>143</v>
      </c>
      <c r="BC669">
        <v>161</v>
      </c>
      <c r="BD669" t="s">
        <v>74</v>
      </c>
      <c r="BE669" t="s">
        <v>74</v>
      </c>
      <c r="BF669" t="s">
        <v>74</v>
      </c>
      <c r="BG669" t="s">
        <v>74</v>
      </c>
      <c r="BH669" t="s">
        <v>74</v>
      </c>
      <c r="BI669">
        <v>19</v>
      </c>
      <c r="BJ669" t="s">
        <v>1616</v>
      </c>
      <c r="BK669" t="s">
        <v>95</v>
      </c>
      <c r="BL669" t="s">
        <v>1616</v>
      </c>
      <c r="BM669" t="s">
        <v>9890</v>
      </c>
      <c r="BN669" t="s">
        <v>74</v>
      </c>
      <c r="BO669" t="s">
        <v>74</v>
      </c>
      <c r="BP669" t="s">
        <v>74</v>
      </c>
      <c r="BQ669" t="s">
        <v>74</v>
      </c>
      <c r="BR669" t="s">
        <v>97</v>
      </c>
      <c r="BS669" t="s">
        <v>9923</v>
      </c>
      <c r="BT669" t="str">
        <f>HYPERLINK("https%3A%2F%2Fwww.webofscience.com%2Fwos%2Fwoscc%2Ffull-record%2FWOS:000233386600009","View Full Record in Web of Science")</f>
        <v>View Full Record in Web of Science</v>
      </c>
    </row>
    <row r="670" spans="1:72" x14ac:dyDescent="0.15">
      <c r="A670" t="s">
        <v>72</v>
      </c>
      <c r="B670" t="s">
        <v>9924</v>
      </c>
      <c r="C670" t="s">
        <v>74</v>
      </c>
      <c r="D670" t="s">
        <v>74</v>
      </c>
      <c r="E670" t="s">
        <v>74</v>
      </c>
      <c r="F670" t="s">
        <v>9924</v>
      </c>
      <c r="G670" t="s">
        <v>74</v>
      </c>
      <c r="H670" t="s">
        <v>74</v>
      </c>
      <c r="I670" t="s">
        <v>9925</v>
      </c>
      <c r="J670" t="s">
        <v>9876</v>
      </c>
      <c r="K670" t="s">
        <v>74</v>
      </c>
      <c r="L670" t="s">
        <v>74</v>
      </c>
      <c r="M670" t="s">
        <v>77</v>
      </c>
      <c r="N670" t="s">
        <v>78</v>
      </c>
      <c r="O670" t="s">
        <v>74</v>
      </c>
      <c r="P670" t="s">
        <v>74</v>
      </c>
      <c r="Q670" t="s">
        <v>74</v>
      </c>
      <c r="R670" t="s">
        <v>74</v>
      </c>
      <c r="S670" t="s">
        <v>74</v>
      </c>
      <c r="T670" t="s">
        <v>9926</v>
      </c>
      <c r="U670" t="s">
        <v>9927</v>
      </c>
      <c r="V670" t="s">
        <v>9928</v>
      </c>
      <c r="W670" t="s">
        <v>9929</v>
      </c>
      <c r="X670" t="s">
        <v>9930</v>
      </c>
      <c r="Y670" t="s">
        <v>9931</v>
      </c>
      <c r="Z670" t="s">
        <v>9932</v>
      </c>
      <c r="AA670" t="s">
        <v>74</v>
      </c>
      <c r="AB670" t="s">
        <v>74</v>
      </c>
      <c r="AC670" t="s">
        <v>74</v>
      </c>
      <c r="AD670" t="s">
        <v>74</v>
      </c>
      <c r="AE670" t="s">
        <v>74</v>
      </c>
      <c r="AF670" t="s">
        <v>74</v>
      </c>
      <c r="AG670">
        <v>20</v>
      </c>
      <c r="AH670">
        <v>49</v>
      </c>
      <c r="AI670">
        <v>65</v>
      </c>
      <c r="AJ670">
        <v>1</v>
      </c>
      <c r="AK670">
        <v>10</v>
      </c>
      <c r="AL670" t="s">
        <v>9884</v>
      </c>
      <c r="AM670" t="s">
        <v>9885</v>
      </c>
      <c r="AN670" t="s">
        <v>9886</v>
      </c>
      <c r="AO670" t="s">
        <v>9887</v>
      </c>
      <c r="AP670" t="s">
        <v>74</v>
      </c>
      <c r="AQ670" t="s">
        <v>74</v>
      </c>
      <c r="AR670" t="s">
        <v>9888</v>
      </c>
      <c r="AS670" t="s">
        <v>9889</v>
      </c>
      <c r="AT670" t="s">
        <v>74</v>
      </c>
      <c r="AU670">
        <v>2005</v>
      </c>
      <c r="AV670">
        <v>12</v>
      </c>
      <c r="AW670" t="s">
        <v>74</v>
      </c>
      <c r="AX670" t="s">
        <v>74</v>
      </c>
      <c r="AY670" t="s">
        <v>74</v>
      </c>
      <c r="AZ670" t="s">
        <v>74</v>
      </c>
      <c r="BA670" t="s">
        <v>74</v>
      </c>
      <c r="BB670">
        <v>163</v>
      </c>
      <c r="BC670">
        <v>172</v>
      </c>
      <c r="BD670" t="s">
        <v>74</v>
      </c>
      <c r="BE670" t="s">
        <v>74</v>
      </c>
      <c r="BF670" t="s">
        <v>74</v>
      </c>
      <c r="BG670" t="s">
        <v>74</v>
      </c>
      <c r="BH670" t="s">
        <v>74</v>
      </c>
      <c r="BI670">
        <v>10</v>
      </c>
      <c r="BJ670" t="s">
        <v>1616</v>
      </c>
      <c r="BK670" t="s">
        <v>95</v>
      </c>
      <c r="BL670" t="s">
        <v>1616</v>
      </c>
      <c r="BM670" t="s">
        <v>9890</v>
      </c>
      <c r="BN670" t="s">
        <v>74</v>
      </c>
      <c r="BO670" t="s">
        <v>74</v>
      </c>
      <c r="BP670" t="s">
        <v>74</v>
      </c>
      <c r="BQ670" t="s">
        <v>74</v>
      </c>
      <c r="BR670" t="s">
        <v>97</v>
      </c>
      <c r="BS670" t="s">
        <v>9933</v>
      </c>
      <c r="BT670" t="str">
        <f>HYPERLINK("https%3A%2F%2Fwww.webofscience.com%2Fwos%2Fwoscc%2Ffull-record%2FWOS:000233386600010","View Full Record in Web of Science")</f>
        <v>View Full Record in Web of Science</v>
      </c>
    </row>
    <row r="671" spans="1:72" x14ac:dyDescent="0.15">
      <c r="A671" t="s">
        <v>72</v>
      </c>
      <c r="B671" t="s">
        <v>9934</v>
      </c>
      <c r="C671" t="s">
        <v>74</v>
      </c>
      <c r="D671" t="s">
        <v>74</v>
      </c>
      <c r="E671" t="s">
        <v>74</v>
      </c>
      <c r="F671" t="s">
        <v>9934</v>
      </c>
      <c r="G671" t="s">
        <v>74</v>
      </c>
      <c r="H671" t="s">
        <v>74</v>
      </c>
      <c r="I671" t="s">
        <v>9935</v>
      </c>
      <c r="J671" t="s">
        <v>9876</v>
      </c>
      <c r="K671" t="s">
        <v>74</v>
      </c>
      <c r="L671" t="s">
        <v>74</v>
      </c>
      <c r="M671" t="s">
        <v>77</v>
      </c>
      <c r="N671" t="s">
        <v>78</v>
      </c>
      <c r="O671" t="s">
        <v>74</v>
      </c>
      <c r="P671" t="s">
        <v>74</v>
      </c>
      <c r="Q671" t="s">
        <v>74</v>
      </c>
      <c r="R671" t="s">
        <v>74</v>
      </c>
      <c r="S671" t="s">
        <v>74</v>
      </c>
      <c r="T671" t="s">
        <v>9936</v>
      </c>
      <c r="U671" t="s">
        <v>9937</v>
      </c>
      <c r="V671" t="s">
        <v>9938</v>
      </c>
      <c r="W671" t="s">
        <v>9939</v>
      </c>
      <c r="X671" t="s">
        <v>2089</v>
      </c>
      <c r="Y671" t="s">
        <v>9940</v>
      </c>
      <c r="Z671" t="s">
        <v>9941</v>
      </c>
      <c r="AA671" t="s">
        <v>74</v>
      </c>
      <c r="AB671" t="s">
        <v>74</v>
      </c>
      <c r="AC671" t="s">
        <v>74</v>
      </c>
      <c r="AD671" t="s">
        <v>74</v>
      </c>
      <c r="AE671" t="s">
        <v>74</v>
      </c>
      <c r="AF671" t="s">
        <v>74</v>
      </c>
      <c r="AG671">
        <v>21</v>
      </c>
      <c r="AH671">
        <v>13</v>
      </c>
      <c r="AI671">
        <v>15</v>
      </c>
      <c r="AJ671">
        <v>0</v>
      </c>
      <c r="AK671">
        <v>5</v>
      </c>
      <c r="AL671" t="s">
        <v>9884</v>
      </c>
      <c r="AM671" t="s">
        <v>9885</v>
      </c>
      <c r="AN671" t="s">
        <v>9886</v>
      </c>
      <c r="AO671" t="s">
        <v>9887</v>
      </c>
      <c r="AP671" t="s">
        <v>74</v>
      </c>
      <c r="AQ671" t="s">
        <v>74</v>
      </c>
      <c r="AR671" t="s">
        <v>9888</v>
      </c>
      <c r="AS671" t="s">
        <v>9889</v>
      </c>
      <c r="AT671" t="s">
        <v>74</v>
      </c>
      <c r="AU671">
        <v>2005</v>
      </c>
      <c r="AV671">
        <v>12</v>
      </c>
      <c r="AW671" t="s">
        <v>74</v>
      </c>
      <c r="AX671" t="s">
        <v>74</v>
      </c>
      <c r="AY671" t="s">
        <v>74</v>
      </c>
      <c r="AZ671" t="s">
        <v>74</v>
      </c>
      <c r="BA671" t="s">
        <v>74</v>
      </c>
      <c r="BB671">
        <v>183</v>
      </c>
      <c r="BC671">
        <v>194</v>
      </c>
      <c r="BD671" t="s">
        <v>74</v>
      </c>
      <c r="BE671" t="s">
        <v>74</v>
      </c>
      <c r="BF671" t="s">
        <v>74</v>
      </c>
      <c r="BG671" t="s">
        <v>74</v>
      </c>
      <c r="BH671" t="s">
        <v>74</v>
      </c>
      <c r="BI671">
        <v>12</v>
      </c>
      <c r="BJ671" t="s">
        <v>1616</v>
      </c>
      <c r="BK671" t="s">
        <v>95</v>
      </c>
      <c r="BL671" t="s">
        <v>1616</v>
      </c>
      <c r="BM671" t="s">
        <v>9890</v>
      </c>
      <c r="BN671" t="s">
        <v>74</v>
      </c>
      <c r="BO671" t="s">
        <v>74</v>
      </c>
      <c r="BP671" t="s">
        <v>74</v>
      </c>
      <c r="BQ671" t="s">
        <v>74</v>
      </c>
      <c r="BR671" t="s">
        <v>97</v>
      </c>
      <c r="BS671" t="s">
        <v>9942</v>
      </c>
      <c r="BT671" t="str">
        <f>HYPERLINK("https%3A%2F%2Fwww.webofscience.com%2Fwos%2Fwoscc%2Ffull-record%2FWOS:000233386600012","View Full Record in Web of Science")</f>
        <v>View Full Record in Web of Science</v>
      </c>
    </row>
    <row r="672" spans="1:72" x14ac:dyDescent="0.15">
      <c r="A672" t="s">
        <v>72</v>
      </c>
      <c r="B672" t="s">
        <v>9943</v>
      </c>
      <c r="C672" t="s">
        <v>74</v>
      </c>
      <c r="D672" t="s">
        <v>74</v>
      </c>
      <c r="E672" t="s">
        <v>74</v>
      </c>
      <c r="F672" t="s">
        <v>9943</v>
      </c>
      <c r="G672" t="s">
        <v>74</v>
      </c>
      <c r="H672" t="s">
        <v>74</v>
      </c>
      <c r="I672" t="s">
        <v>9944</v>
      </c>
      <c r="J672" t="s">
        <v>9876</v>
      </c>
      <c r="K672" t="s">
        <v>74</v>
      </c>
      <c r="L672" t="s">
        <v>74</v>
      </c>
      <c r="M672" t="s">
        <v>77</v>
      </c>
      <c r="N672" t="s">
        <v>78</v>
      </c>
      <c r="O672" t="s">
        <v>74</v>
      </c>
      <c r="P672" t="s">
        <v>74</v>
      </c>
      <c r="Q672" t="s">
        <v>74</v>
      </c>
      <c r="R672" t="s">
        <v>74</v>
      </c>
      <c r="S672" t="s">
        <v>74</v>
      </c>
      <c r="T672" t="s">
        <v>9945</v>
      </c>
      <c r="U672" t="s">
        <v>74</v>
      </c>
      <c r="V672" t="s">
        <v>9946</v>
      </c>
      <c r="W672" t="s">
        <v>9947</v>
      </c>
      <c r="X672" t="s">
        <v>9948</v>
      </c>
      <c r="Y672" t="s">
        <v>9949</v>
      </c>
      <c r="Z672" t="s">
        <v>9950</v>
      </c>
      <c r="AA672" t="s">
        <v>74</v>
      </c>
      <c r="AB672" t="s">
        <v>74</v>
      </c>
      <c r="AC672" t="s">
        <v>74</v>
      </c>
      <c r="AD672" t="s">
        <v>74</v>
      </c>
      <c r="AE672" t="s">
        <v>74</v>
      </c>
      <c r="AF672" t="s">
        <v>74</v>
      </c>
      <c r="AG672">
        <v>10</v>
      </c>
      <c r="AH672">
        <v>4</v>
      </c>
      <c r="AI672">
        <v>4</v>
      </c>
      <c r="AJ672">
        <v>0</v>
      </c>
      <c r="AK672">
        <v>2</v>
      </c>
      <c r="AL672" t="s">
        <v>9884</v>
      </c>
      <c r="AM672" t="s">
        <v>9885</v>
      </c>
      <c r="AN672" t="s">
        <v>9886</v>
      </c>
      <c r="AO672" t="s">
        <v>9887</v>
      </c>
      <c r="AP672" t="s">
        <v>74</v>
      </c>
      <c r="AQ672" t="s">
        <v>74</v>
      </c>
      <c r="AR672" t="s">
        <v>9888</v>
      </c>
      <c r="AS672" t="s">
        <v>9889</v>
      </c>
      <c r="AT672" t="s">
        <v>74</v>
      </c>
      <c r="AU672">
        <v>2005</v>
      </c>
      <c r="AV672">
        <v>12</v>
      </c>
      <c r="AW672" t="s">
        <v>74</v>
      </c>
      <c r="AX672" t="s">
        <v>74</v>
      </c>
      <c r="AY672" t="s">
        <v>74</v>
      </c>
      <c r="AZ672" t="s">
        <v>74</v>
      </c>
      <c r="BA672" t="s">
        <v>74</v>
      </c>
      <c r="BB672">
        <v>207</v>
      </c>
      <c r="BC672">
        <v>214</v>
      </c>
      <c r="BD672" t="s">
        <v>74</v>
      </c>
      <c r="BE672" t="s">
        <v>74</v>
      </c>
      <c r="BF672" t="s">
        <v>74</v>
      </c>
      <c r="BG672" t="s">
        <v>74</v>
      </c>
      <c r="BH672" t="s">
        <v>74</v>
      </c>
      <c r="BI672">
        <v>8</v>
      </c>
      <c r="BJ672" t="s">
        <v>1616</v>
      </c>
      <c r="BK672" t="s">
        <v>95</v>
      </c>
      <c r="BL672" t="s">
        <v>1616</v>
      </c>
      <c r="BM672" t="s">
        <v>9890</v>
      </c>
      <c r="BN672" t="s">
        <v>74</v>
      </c>
      <c r="BO672" t="s">
        <v>74</v>
      </c>
      <c r="BP672" t="s">
        <v>74</v>
      </c>
      <c r="BQ672" t="s">
        <v>74</v>
      </c>
      <c r="BR672" t="s">
        <v>97</v>
      </c>
      <c r="BS672" t="s">
        <v>9951</v>
      </c>
      <c r="BT672" t="str">
        <f>HYPERLINK("https%3A%2F%2Fwww.webofscience.com%2Fwos%2Fwoscc%2Ffull-record%2FWOS:000233386600014","View Full Record in Web of Science")</f>
        <v>View Full Record in Web of Science</v>
      </c>
    </row>
    <row r="673" spans="1:72" x14ac:dyDescent="0.15">
      <c r="A673" t="s">
        <v>5114</v>
      </c>
      <c r="B673" t="s">
        <v>9952</v>
      </c>
      <c r="C673" t="s">
        <v>9952</v>
      </c>
      <c r="D673" t="s">
        <v>74</v>
      </c>
      <c r="E673" t="s">
        <v>74</v>
      </c>
      <c r="F673" t="s">
        <v>9953</v>
      </c>
      <c r="G673" t="s">
        <v>9952</v>
      </c>
      <c r="H673" t="s">
        <v>74</v>
      </c>
      <c r="I673" t="s">
        <v>9954</v>
      </c>
      <c r="J673" t="s">
        <v>9955</v>
      </c>
      <c r="K673" t="s">
        <v>74</v>
      </c>
      <c r="L673" t="s">
        <v>74</v>
      </c>
      <c r="M673" t="s">
        <v>77</v>
      </c>
      <c r="N673" t="s">
        <v>9956</v>
      </c>
      <c r="O673" t="s">
        <v>74</v>
      </c>
      <c r="P673" t="s">
        <v>74</v>
      </c>
      <c r="Q673" t="s">
        <v>74</v>
      </c>
      <c r="R673" t="s">
        <v>74</v>
      </c>
      <c r="S673" t="s">
        <v>74</v>
      </c>
      <c r="T673" t="s">
        <v>74</v>
      </c>
      <c r="U673" t="s">
        <v>74</v>
      </c>
      <c r="V673" t="s">
        <v>74</v>
      </c>
      <c r="W673" t="s">
        <v>9957</v>
      </c>
      <c r="X673" t="s">
        <v>9958</v>
      </c>
      <c r="Y673" t="s">
        <v>9959</v>
      </c>
      <c r="Z673" t="s">
        <v>74</v>
      </c>
      <c r="AA673" t="s">
        <v>74</v>
      </c>
      <c r="AB673" t="s">
        <v>74</v>
      </c>
      <c r="AC673" t="s">
        <v>74</v>
      </c>
      <c r="AD673" t="s">
        <v>74</v>
      </c>
      <c r="AE673" t="s">
        <v>74</v>
      </c>
      <c r="AF673" t="s">
        <v>74</v>
      </c>
      <c r="AG673">
        <v>0</v>
      </c>
      <c r="AH673">
        <v>28</v>
      </c>
      <c r="AI673">
        <v>33</v>
      </c>
      <c r="AJ673">
        <v>0</v>
      </c>
      <c r="AK673">
        <v>2</v>
      </c>
      <c r="AL673" t="s">
        <v>9960</v>
      </c>
      <c r="AM673" t="s">
        <v>256</v>
      </c>
      <c r="AN673" t="s">
        <v>9961</v>
      </c>
      <c r="AO673" t="s">
        <v>74</v>
      </c>
      <c r="AP673" t="s">
        <v>74</v>
      </c>
      <c r="AQ673" t="s">
        <v>9962</v>
      </c>
      <c r="AR673" t="s">
        <v>74</v>
      </c>
      <c r="AS673" t="s">
        <v>74</v>
      </c>
      <c r="AT673" t="s">
        <v>74</v>
      </c>
      <c r="AU673">
        <v>2005</v>
      </c>
      <c r="AV673" t="s">
        <v>74</v>
      </c>
      <c r="AW673" t="s">
        <v>74</v>
      </c>
      <c r="AX673" t="s">
        <v>74</v>
      </c>
      <c r="AY673" t="s">
        <v>74</v>
      </c>
      <c r="AZ673" t="s">
        <v>74</v>
      </c>
      <c r="BA673" t="s">
        <v>74</v>
      </c>
      <c r="BB673">
        <v>1</v>
      </c>
      <c r="BC673">
        <v>6</v>
      </c>
      <c r="BD673" t="s">
        <v>74</v>
      </c>
      <c r="BE673" t="s">
        <v>74</v>
      </c>
      <c r="BF673" t="s">
        <v>74</v>
      </c>
      <c r="BG673" t="s">
        <v>9963</v>
      </c>
      <c r="BH673" t="s">
        <v>74</v>
      </c>
      <c r="BI673">
        <v>6</v>
      </c>
      <c r="BJ673" t="s">
        <v>1857</v>
      </c>
      <c r="BK673" t="s">
        <v>9004</v>
      </c>
      <c r="BL673" t="s">
        <v>1857</v>
      </c>
      <c r="BM673" t="s">
        <v>9964</v>
      </c>
      <c r="BN673" t="s">
        <v>74</v>
      </c>
      <c r="BO673" t="s">
        <v>74</v>
      </c>
      <c r="BP673" t="s">
        <v>74</v>
      </c>
      <c r="BQ673" t="s">
        <v>74</v>
      </c>
      <c r="BR673" t="s">
        <v>97</v>
      </c>
      <c r="BS673" t="s">
        <v>9965</v>
      </c>
      <c r="BT673" t="str">
        <f>HYPERLINK("https%3A%2F%2Fwww.webofscience.com%2Fwos%2Fwoscc%2Ffull-record%2FWOS:000297803900002","View Full Record in Web of Science")</f>
        <v>View Full Record in Web of Science</v>
      </c>
    </row>
    <row r="674" spans="1:72" x14ac:dyDescent="0.15">
      <c r="A674" t="s">
        <v>5114</v>
      </c>
      <c r="B674" t="s">
        <v>9952</v>
      </c>
      <c r="C674" t="s">
        <v>9952</v>
      </c>
      <c r="D674" t="s">
        <v>74</v>
      </c>
      <c r="E674" t="s">
        <v>74</v>
      </c>
      <c r="F674" t="s">
        <v>9953</v>
      </c>
      <c r="G674" t="s">
        <v>9952</v>
      </c>
      <c r="H674" t="s">
        <v>74</v>
      </c>
      <c r="I674" t="s">
        <v>9966</v>
      </c>
      <c r="J674" t="s">
        <v>9955</v>
      </c>
      <c r="K674" t="s">
        <v>74</v>
      </c>
      <c r="L674" t="s">
        <v>74</v>
      </c>
      <c r="M674" t="s">
        <v>77</v>
      </c>
      <c r="N674" t="s">
        <v>8991</v>
      </c>
      <c r="O674" t="s">
        <v>74</v>
      </c>
      <c r="P674" t="s">
        <v>74</v>
      </c>
      <c r="Q674" t="s">
        <v>74</v>
      </c>
      <c r="R674" t="s">
        <v>74</v>
      </c>
      <c r="S674" t="s">
        <v>74</v>
      </c>
      <c r="T674" t="s">
        <v>74</v>
      </c>
      <c r="U674" t="s">
        <v>74</v>
      </c>
      <c r="V674" t="s">
        <v>9967</v>
      </c>
      <c r="W674" t="s">
        <v>9957</v>
      </c>
      <c r="X674" t="s">
        <v>9958</v>
      </c>
      <c r="Y674" t="s">
        <v>9959</v>
      </c>
      <c r="Z674" t="s">
        <v>74</v>
      </c>
      <c r="AA674" t="s">
        <v>74</v>
      </c>
      <c r="AB674" t="s">
        <v>74</v>
      </c>
      <c r="AC674" t="s">
        <v>74</v>
      </c>
      <c r="AD674" t="s">
        <v>74</v>
      </c>
      <c r="AE674" t="s">
        <v>74</v>
      </c>
      <c r="AF674" t="s">
        <v>74</v>
      </c>
      <c r="AG674">
        <v>0</v>
      </c>
      <c r="AH674">
        <v>0</v>
      </c>
      <c r="AI674">
        <v>0</v>
      </c>
      <c r="AJ674">
        <v>0</v>
      </c>
      <c r="AK674">
        <v>18</v>
      </c>
      <c r="AL674" t="s">
        <v>9960</v>
      </c>
      <c r="AM674" t="s">
        <v>256</v>
      </c>
      <c r="AN674" t="s">
        <v>9961</v>
      </c>
      <c r="AO674" t="s">
        <v>74</v>
      </c>
      <c r="AP674" t="s">
        <v>74</v>
      </c>
      <c r="AQ674" t="s">
        <v>9962</v>
      </c>
      <c r="AR674" t="s">
        <v>74</v>
      </c>
      <c r="AS674" t="s">
        <v>74</v>
      </c>
      <c r="AT674" t="s">
        <v>74</v>
      </c>
      <c r="AU674">
        <v>2005</v>
      </c>
      <c r="AV674" t="s">
        <v>74</v>
      </c>
      <c r="AW674" t="s">
        <v>74</v>
      </c>
      <c r="AX674" t="s">
        <v>74</v>
      </c>
      <c r="AY674" t="s">
        <v>74</v>
      </c>
      <c r="AZ674" t="s">
        <v>74</v>
      </c>
      <c r="BA674" t="s">
        <v>74</v>
      </c>
      <c r="BB674">
        <v>7</v>
      </c>
      <c r="BC674">
        <v>35</v>
      </c>
      <c r="BD674" t="s">
        <v>74</v>
      </c>
      <c r="BE674" t="s">
        <v>74</v>
      </c>
      <c r="BF674" t="s">
        <v>74</v>
      </c>
      <c r="BG674" t="s">
        <v>9963</v>
      </c>
      <c r="BH674" t="s">
        <v>74</v>
      </c>
      <c r="BI674">
        <v>29</v>
      </c>
      <c r="BJ674" t="s">
        <v>1857</v>
      </c>
      <c r="BK674" t="s">
        <v>9004</v>
      </c>
      <c r="BL674" t="s">
        <v>1857</v>
      </c>
      <c r="BM674" t="s">
        <v>9964</v>
      </c>
      <c r="BN674" t="s">
        <v>74</v>
      </c>
      <c r="BO674" t="s">
        <v>74</v>
      </c>
      <c r="BP674" t="s">
        <v>74</v>
      </c>
      <c r="BQ674" t="s">
        <v>74</v>
      </c>
      <c r="BR674" t="s">
        <v>97</v>
      </c>
      <c r="BS674" t="s">
        <v>9968</v>
      </c>
      <c r="BT674" t="str">
        <f>HYPERLINK("https%3A%2F%2Fwww.webofscience.com%2Fwos%2Fwoscc%2Ffull-record%2FWOS:000297803900003","View Full Record in Web of Science")</f>
        <v>View Full Record in Web of Science</v>
      </c>
    </row>
    <row r="675" spans="1:72" x14ac:dyDescent="0.15">
      <c r="A675" t="s">
        <v>5114</v>
      </c>
      <c r="B675" t="s">
        <v>9952</v>
      </c>
      <c r="C675" t="s">
        <v>9952</v>
      </c>
      <c r="D675" t="s">
        <v>74</v>
      </c>
      <c r="E675" t="s">
        <v>74</v>
      </c>
      <c r="F675" t="s">
        <v>9953</v>
      </c>
      <c r="G675" t="s">
        <v>9952</v>
      </c>
      <c r="H675" t="s">
        <v>74</v>
      </c>
      <c r="I675" t="s">
        <v>9969</v>
      </c>
      <c r="J675" t="s">
        <v>9955</v>
      </c>
      <c r="K675" t="s">
        <v>74</v>
      </c>
      <c r="L675" t="s">
        <v>74</v>
      </c>
      <c r="M675" t="s">
        <v>77</v>
      </c>
      <c r="N675" t="s">
        <v>9956</v>
      </c>
      <c r="O675" t="s">
        <v>74</v>
      </c>
      <c r="P675" t="s">
        <v>74</v>
      </c>
      <c r="Q675" t="s">
        <v>74</v>
      </c>
      <c r="R675" t="s">
        <v>74</v>
      </c>
      <c r="S675" t="s">
        <v>74</v>
      </c>
      <c r="T675" t="s">
        <v>74</v>
      </c>
      <c r="U675" t="s">
        <v>74</v>
      </c>
      <c r="V675" t="s">
        <v>74</v>
      </c>
      <c r="W675" t="s">
        <v>9957</v>
      </c>
      <c r="X675" t="s">
        <v>9958</v>
      </c>
      <c r="Y675" t="s">
        <v>9959</v>
      </c>
      <c r="Z675" t="s">
        <v>74</v>
      </c>
      <c r="AA675" t="s">
        <v>74</v>
      </c>
      <c r="AB675" t="s">
        <v>74</v>
      </c>
      <c r="AC675" t="s">
        <v>74</v>
      </c>
      <c r="AD675" t="s">
        <v>74</v>
      </c>
      <c r="AE675" t="s">
        <v>74</v>
      </c>
      <c r="AF675" t="s">
        <v>74</v>
      </c>
      <c r="AG675">
        <v>0</v>
      </c>
      <c r="AH675">
        <v>0</v>
      </c>
      <c r="AI675">
        <v>0</v>
      </c>
      <c r="AJ675">
        <v>0</v>
      </c>
      <c r="AK675">
        <v>0</v>
      </c>
      <c r="AL675" t="s">
        <v>9960</v>
      </c>
      <c r="AM675" t="s">
        <v>256</v>
      </c>
      <c r="AN675" t="s">
        <v>9961</v>
      </c>
      <c r="AO675" t="s">
        <v>74</v>
      </c>
      <c r="AP675" t="s">
        <v>74</v>
      </c>
      <c r="AQ675" t="s">
        <v>9962</v>
      </c>
      <c r="AR675" t="s">
        <v>74</v>
      </c>
      <c r="AS675" t="s">
        <v>74</v>
      </c>
      <c r="AT675" t="s">
        <v>74</v>
      </c>
      <c r="AU675">
        <v>2005</v>
      </c>
      <c r="AV675" t="s">
        <v>74</v>
      </c>
      <c r="AW675" t="s">
        <v>74</v>
      </c>
      <c r="AX675" t="s">
        <v>74</v>
      </c>
      <c r="AY675" t="s">
        <v>74</v>
      </c>
      <c r="AZ675" t="s">
        <v>74</v>
      </c>
      <c r="BA675" t="s">
        <v>74</v>
      </c>
      <c r="BB675" t="s">
        <v>9970</v>
      </c>
      <c r="BC675" t="s">
        <v>6131</v>
      </c>
      <c r="BD675" t="s">
        <v>74</v>
      </c>
      <c r="BE675" t="s">
        <v>74</v>
      </c>
      <c r="BF675" t="s">
        <v>74</v>
      </c>
      <c r="BG675" t="s">
        <v>9963</v>
      </c>
      <c r="BH675" t="s">
        <v>74</v>
      </c>
      <c r="BI675">
        <v>68</v>
      </c>
      <c r="BJ675" t="s">
        <v>1857</v>
      </c>
      <c r="BK675" t="s">
        <v>9004</v>
      </c>
      <c r="BL675" t="s">
        <v>1857</v>
      </c>
      <c r="BM675" t="s">
        <v>9964</v>
      </c>
      <c r="BN675" t="s">
        <v>74</v>
      </c>
      <c r="BO675" t="s">
        <v>74</v>
      </c>
      <c r="BP675" t="s">
        <v>74</v>
      </c>
      <c r="BQ675" t="s">
        <v>74</v>
      </c>
      <c r="BR675" t="s">
        <v>97</v>
      </c>
      <c r="BS675" t="s">
        <v>9971</v>
      </c>
      <c r="BT675" t="str">
        <f>HYPERLINK("https%3A%2F%2Fwww.webofscience.com%2Fwos%2Fwoscc%2Ffull-record%2FWOS:000297803900001","View Full Record in Web of Science")</f>
        <v>View Full Record in Web of Science</v>
      </c>
    </row>
    <row r="676" spans="1:72" x14ac:dyDescent="0.15">
      <c r="A676" t="s">
        <v>5114</v>
      </c>
      <c r="B676" t="s">
        <v>9952</v>
      </c>
      <c r="C676" t="s">
        <v>9952</v>
      </c>
      <c r="D676" t="s">
        <v>74</v>
      </c>
      <c r="E676" t="s">
        <v>74</v>
      </c>
      <c r="F676" t="s">
        <v>9953</v>
      </c>
      <c r="G676" t="s">
        <v>9952</v>
      </c>
      <c r="H676" t="s">
        <v>74</v>
      </c>
      <c r="I676" t="s">
        <v>9972</v>
      </c>
      <c r="J676" t="s">
        <v>9955</v>
      </c>
      <c r="K676" t="s">
        <v>74</v>
      </c>
      <c r="L676" t="s">
        <v>74</v>
      </c>
      <c r="M676" t="s">
        <v>77</v>
      </c>
      <c r="N676" t="s">
        <v>8991</v>
      </c>
      <c r="O676" t="s">
        <v>74</v>
      </c>
      <c r="P676" t="s">
        <v>74</v>
      </c>
      <c r="Q676" t="s">
        <v>74</v>
      </c>
      <c r="R676" t="s">
        <v>74</v>
      </c>
      <c r="S676" t="s">
        <v>74</v>
      </c>
      <c r="T676" t="s">
        <v>74</v>
      </c>
      <c r="U676" t="s">
        <v>74</v>
      </c>
      <c r="V676" t="s">
        <v>9973</v>
      </c>
      <c r="W676" t="s">
        <v>9957</v>
      </c>
      <c r="X676" t="s">
        <v>9958</v>
      </c>
      <c r="Y676" t="s">
        <v>9959</v>
      </c>
      <c r="Z676" t="s">
        <v>74</v>
      </c>
      <c r="AA676" t="s">
        <v>74</v>
      </c>
      <c r="AB676" t="s">
        <v>74</v>
      </c>
      <c r="AC676" t="s">
        <v>74</v>
      </c>
      <c r="AD676" t="s">
        <v>74</v>
      </c>
      <c r="AE676" t="s">
        <v>74</v>
      </c>
      <c r="AF676" t="s">
        <v>74</v>
      </c>
      <c r="AG676">
        <v>0</v>
      </c>
      <c r="AH676">
        <v>2</v>
      </c>
      <c r="AI676">
        <v>2</v>
      </c>
      <c r="AJ676">
        <v>0</v>
      </c>
      <c r="AK676">
        <v>16</v>
      </c>
      <c r="AL676" t="s">
        <v>9960</v>
      </c>
      <c r="AM676" t="s">
        <v>256</v>
      </c>
      <c r="AN676" t="s">
        <v>9961</v>
      </c>
      <c r="AO676" t="s">
        <v>74</v>
      </c>
      <c r="AP676" t="s">
        <v>74</v>
      </c>
      <c r="AQ676" t="s">
        <v>9962</v>
      </c>
      <c r="AR676" t="s">
        <v>74</v>
      </c>
      <c r="AS676" t="s">
        <v>74</v>
      </c>
      <c r="AT676" t="s">
        <v>74</v>
      </c>
      <c r="AU676">
        <v>2005</v>
      </c>
      <c r="AV676" t="s">
        <v>74</v>
      </c>
      <c r="AW676" t="s">
        <v>74</v>
      </c>
      <c r="AX676" t="s">
        <v>74</v>
      </c>
      <c r="AY676" t="s">
        <v>74</v>
      </c>
      <c r="AZ676" t="s">
        <v>74</v>
      </c>
      <c r="BA676" t="s">
        <v>74</v>
      </c>
      <c r="BB676">
        <v>36</v>
      </c>
      <c r="BC676">
        <v>49</v>
      </c>
      <c r="BD676" t="s">
        <v>74</v>
      </c>
      <c r="BE676" t="s">
        <v>74</v>
      </c>
      <c r="BF676" t="s">
        <v>74</v>
      </c>
      <c r="BG676" t="s">
        <v>9963</v>
      </c>
      <c r="BH676" t="s">
        <v>74</v>
      </c>
      <c r="BI676">
        <v>14</v>
      </c>
      <c r="BJ676" t="s">
        <v>1857</v>
      </c>
      <c r="BK676" t="s">
        <v>9004</v>
      </c>
      <c r="BL676" t="s">
        <v>1857</v>
      </c>
      <c r="BM676" t="s">
        <v>9964</v>
      </c>
      <c r="BN676" t="s">
        <v>74</v>
      </c>
      <c r="BO676" t="s">
        <v>74</v>
      </c>
      <c r="BP676" t="s">
        <v>74</v>
      </c>
      <c r="BQ676" t="s">
        <v>74</v>
      </c>
      <c r="BR676" t="s">
        <v>97</v>
      </c>
      <c r="BS676" t="s">
        <v>9974</v>
      </c>
      <c r="BT676" t="str">
        <f>HYPERLINK("https%3A%2F%2Fwww.webofscience.com%2Fwos%2Fwoscc%2Ffull-record%2FWOS:000297803900004","View Full Record in Web of Science")</f>
        <v>View Full Record in Web of Science</v>
      </c>
    </row>
    <row r="677" spans="1:72" x14ac:dyDescent="0.15">
      <c r="A677" t="s">
        <v>5114</v>
      </c>
      <c r="B677" t="s">
        <v>9952</v>
      </c>
      <c r="C677" t="s">
        <v>9952</v>
      </c>
      <c r="D677" t="s">
        <v>74</v>
      </c>
      <c r="E677" t="s">
        <v>74</v>
      </c>
      <c r="F677" t="s">
        <v>9953</v>
      </c>
      <c r="G677" t="s">
        <v>9952</v>
      </c>
      <c r="H677" t="s">
        <v>74</v>
      </c>
      <c r="I677" t="s">
        <v>9975</v>
      </c>
      <c r="J677" t="s">
        <v>9955</v>
      </c>
      <c r="K677" t="s">
        <v>74</v>
      </c>
      <c r="L677" t="s">
        <v>74</v>
      </c>
      <c r="M677" t="s">
        <v>77</v>
      </c>
      <c r="N677" t="s">
        <v>8991</v>
      </c>
      <c r="O677" t="s">
        <v>74</v>
      </c>
      <c r="P677" t="s">
        <v>74</v>
      </c>
      <c r="Q677" t="s">
        <v>74</v>
      </c>
      <c r="R677" t="s">
        <v>74</v>
      </c>
      <c r="S677" t="s">
        <v>74</v>
      </c>
      <c r="T677" t="s">
        <v>74</v>
      </c>
      <c r="U677" t="s">
        <v>74</v>
      </c>
      <c r="V677" t="s">
        <v>9976</v>
      </c>
      <c r="W677" t="s">
        <v>9957</v>
      </c>
      <c r="X677" t="s">
        <v>9958</v>
      </c>
      <c r="Y677" t="s">
        <v>9959</v>
      </c>
      <c r="Z677" t="s">
        <v>74</v>
      </c>
      <c r="AA677" t="s">
        <v>74</v>
      </c>
      <c r="AB677" t="s">
        <v>74</v>
      </c>
      <c r="AC677" t="s">
        <v>74</v>
      </c>
      <c r="AD677" t="s">
        <v>74</v>
      </c>
      <c r="AE677" t="s">
        <v>74</v>
      </c>
      <c r="AF677" t="s">
        <v>74</v>
      </c>
      <c r="AG677">
        <v>0</v>
      </c>
      <c r="AH677">
        <v>0</v>
      </c>
      <c r="AI677">
        <v>0</v>
      </c>
      <c r="AJ677">
        <v>0</v>
      </c>
      <c r="AK677">
        <v>10</v>
      </c>
      <c r="AL677" t="s">
        <v>9960</v>
      </c>
      <c r="AM677" t="s">
        <v>256</v>
      </c>
      <c r="AN677" t="s">
        <v>9961</v>
      </c>
      <c r="AO677" t="s">
        <v>74</v>
      </c>
      <c r="AP677" t="s">
        <v>74</v>
      </c>
      <c r="AQ677" t="s">
        <v>9962</v>
      </c>
      <c r="AR677" t="s">
        <v>74</v>
      </c>
      <c r="AS677" t="s">
        <v>74</v>
      </c>
      <c r="AT677" t="s">
        <v>74</v>
      </c>
      <c r="AU677">
        <v>2005</v>
      </c>
      <c r="AV677" t="s">
        <v>74</v>
      </c>
      <c r="AW677" t="s">
        <v>74</v>
      </c>
      <c r="AX677" t="s">
        <v>74</v>
      </c>
      <c r="AY677" t="s">
        <v>74</v>
      </c>
      <c r="AZ677" t="s">
        <v>74</v>
      </c>
      <c r="BA677" t="s">
        <v>74</v>
      </c>
      <c r="BB677">
        <v>50</v>
      </c>
      <c r="BC677">
        <v>61</v>
      </c>
      <c r="BD677" t="s">
        <v>74</v>
      </c>
      <c r="BE677" t="s">
        <v>74</v>
      </c>
      <c r="BF677" t="s">
        <v>74</v>
      </c>
      <c r="BG677" t="s">
        <v>9963</v>
      </c>
      <c r="BH677" t="s">
        <v>74</v>
      </c>
      <c r="BI677">
        <v>12</v>
      </c>
      <c r="BJ677" t="s">
        <v>1857</v>
      </c>
      <c r="BK677" t="s">
        <v>9004</v>
      </c>
      <c r="BL677" t="s">
        <v>1857</v>
      </c>
      <c r="BM677" t="s">
        <v>9964</v>
      </c>
      <c r="BN677" t="s">
        <v>74</v>
      </c>
      <c r="BO677" t="s">
        <v>74</v>
      </c>
      <c r="BP677" t="s">
        <v>74</v>
      </c>
      <c r="BQ677" t="s">
        <v>74</v>
      </c>
      <c r="BR677" t="s">
        <v>97</v>
      </c>
      <c r="BS677" t="s">
        <v>9977</v>
      </c>
      <c r="BT677" t="str">
        <f>HYPERLINK("https%3A%2F%2Fwww.webofscience.com%2Fwos%2Fwoscc%2Ffull-record%2FWOS:000297803900005","View Full Record in Web of Science")</f>
        <v>View Full Record in Web of Science</v>
      </c>
    </row>
    <row r="678" spans="1:72" x14ac:dyDescent="0.15">
      <c r="A678" t="s">
        <v>5114</v>
      </c>
      <c r="B678" t="s">
        <v>9952</v>
      </c>
      <c r="C678" t="s">
        <v>9952</v>
      </c>
      <c r="D678" t="s">
        <v>74</v>
      </c>
      <c r="E678" t="s">
        <v>74</v>
      </c>
      <c r="F678" t="s">
        <v>9953</v>
      </c>
      <c r="G678" t="s">
        <v>9952</v>
      </c>
      <c r="H678" t="s">
        <v>74</v>
      </c>
      <c r="I678" t="s">
        <v>9978</v>
      </c>
      <c r="J678" t="s">
        <v>9955</v>
      </c>
      <c r="K678" t="s">
        <v>74</v>
      </c>
      <c r="L678" t="s">
        <v>74</v>
      </c>
      <c r="M678" t="s">
        <v>77</v>
      </c>
      <c r="N678" t="s">
        <v>8991</v>
      </c>
      <c r="O678" t="s">
        <v>74</v>
      </c>
      <c r="P678" t="s">
        <v>74</v>
      </c>
      <c r="Q678" t="s">
        <v>74</v>
      </c>
      <c r="R678" t="s">
        <v>74</v>
      </c>
      <c r="S678" t="s">
        <v>74</v>
      </c>
      <c r="T678" t="s">
        <v>74</v>
      </c>
      <c r="U678" t="s">
        <v>74</v>
      </c>
      <c r="V678" t="s">
        <v>9979</v>
      </c>
      <c r="W678" t="s">
        <v>9957</v>
      </c>
      <c r="X678" t="s">
        <v>9958</v>
      </c>
      <c r="Y678" t="s">
        <v>9959</v>
      </c>
      <c r="Z678" t="s">
        <v>74</v>
      </c>
      <c r="AA678" t="s">
        <v>74</v>
      </c>
      <c r="AB678" t="s">
        <v>74</v>
      </c>
      <c r="AC678" t="s">
        <v>74</v>
      </c>
      <c r="AD678" t="s">
        <v>74</v>
      </c>
      <c r="AE678" t="s">
        <v>74</v>
      </c>
      <c r="AF678" t="s">
        <v>74</v>
      </c>
      <c r="AG678">
        <v>0</v>
      </c>
      <c r="AH678">
        <v>0</v>
      </c>
      <c r="AI678">
        <v>0</v>
      </c>
      <c r="AJ678">
        <v>0</v>
      </c>
      <c r="AK678">
        <v>2</v>
      </c>
      <c r="AL678" t="s">
        <v>9960</v>
      </c>
      <c r="AM678" t="s">
        <v>256</v>
      </c>
      <c r="AN678" t="s">
        <v>9961</v>
      </c>
      <c r="AO678" t="s">
        <v>74</v>
      </c>
      <c r="AP678" t="s">
        <v>74</v>
      </c>
      <c r="AQ678" t="s">
        <v>9962</v>
      </c>
      <c r="AR678" t="s">
        <v>74</v>
      </c>
      <c r="AS678" t="s">
        <v>74</v>
      </c>
      <c r="AT678" t="s">
        <v>74</v>
      </c>
      <c r="AU678">
        <v>2005</v>
      </c>
      <c r="AV678" t="s">
        <v>74</v>
      </c>
      <c r="AW678" t="s">
        <v>74</v>
      </c>
      <c r="AX678" t="s">
        <v>74</v>
      </c>
      <c r="AY678" t="s">
        <v>74</v>
      </c>
      <c r="AZ678" t="s">
        <v>74</v>
      </c>
      <c r="BA678" t="s">
        <v>74</v>
      </c>
      <c r="BB678">
        <v>62</v>
      </c>
      <c r="BC678">
        <v>79</v>
      </c>
      <c r="BD678" t="s">
        <v>74</v>
      </c>
      <c r="BE678" t="s">
        <v>74</v>
      </c>
      <c r="BF678" t="s">
        <v>74</v>
      </c>
      <c r="BG678" t="s">
        <v>9963</v>
      </c>
      <c r="BH678" t="s">
        <v>74</v>
      </c>
      <c r="BI678">
        <v>18</v>
      </c>
      <c r="BJ678" t="s">
        <v>1857</v>
      </c>
      <c r="BK678" t="s">
        <v>9004</v>
      </c>
      <c r="BL678" t="s">
        <v>1857</v>
      </c>
      <c r="BM678" t="s">
        <v>9964</v>
      </c>
      <c r="BN678" t="s">
        <v>74</v>
      </c>
      <c r="BO678" t="s">
        <v>74</v>
      </c>
      <c r="BP678" t="s">
        <v>74</v>
      </c>
      <c r="BQ678" t="s">
        <v>74</v>
      </c>
      <c r="BR678" t="s">
        <v>97</v>
      </c>
      <c r="BS678" t="s">
        <v>9980</v>
      </c>
      <c r="BT678" t="str">
        <f>HYPERLINK("https%3A%2F%2Fwww.webofscience.com%2Fwos%2Fwoscc%2Ffull-record%2FWOS:000297803900006","View Full Record in Web of Science")</f>
        <v>View Full Record in Web of Science</v>
      </c>
    </row>
    <row r="679" spans="1:72" x14ac:dyDescent="0.15">
      <c r="A679" t="s">
        <v>5114</v>
      </c>
      <c r="B679" t="s">
        <v>9952</v>
      </c>
      <c r="C679" t="s">
        <v>9952</v>
      </c>
      <c r="D679" t="s">
        <v>74</v>
      </c>
      <c r="E679" t="s">
        <v>74</v>
      </c>
      <c r="F679" t="s">
        <v>9953</v>
      </c>
      <c r="G679" t="s">
        <v>9952</v>
      </c>
      <c r="H679" t="s">
        <v>74</v>
      </c>
      <c r="I679" t="s">
        <v>9981</v>
      </c>
      <c r="J679" t="s">
        <v>9955</v>
      </c>
      <c r="K679" t="s">
        <v>74</v>
      </c>
      <c r="L679" t="s">
        <v>74</v>
      </c>
      <c r="M679" t="s">
        <v>77</v>
      </c>
      <c r="N679" t="s">
        <v>8991</v>
      </c>
      <c r="O679" t="s">
        <v>74</v>
      </c>
      <c r="P679" t="s">
        <v>74</v>
      </c>
      <c r="Q679" t="s">
        <v>74</v>
      </c>
      <c r="R679" t="s">
        <v>74</v>
      </c>
      <c r="S679" t="s">
        <v>74</v>
      </c>
      <c r="T679" t="s">
        <v>74</v>
      </c>
      <c r="U679" t="s">
        <v>74</v>
      </c>
      <c r="V679" t="s">
        <v>9982</v>
      </c>
      <c r="W679" t="s">
        <v>9957</v>
      </c>
      <c r="X679" t="s">
        <v>9958</v>
      </c>
      <c r="Y679" t="s">
        <v>9959</v>
      </c>
      <c r="Z679" t="s">
        <v>74</v>
      </c>
      <c r="AA679" t="s">
        <v>74</v>
      </c>
      <c r="AB679" t="s">
        <v>74</v>
      </c>
      <c r="AC679" t="s">
        <v>74</v>
      </c>
      <c r="AD679" t="s">
        <v>74</v>
      </c>
      <c r="AE679" t="s">
        <v>74</v>
      </c>
      <c r="AF679" t="s">
        <v>74</v>
      </c>
      <c r="AG679">
        <v>0</v>
      </c>
      <c r="AH679">
        <v>1</v>
      </c>
      <c r="AI679">
        <v>4</v>
      </c>
      <c r="AJ679">
        <v>0</v>
      </c>
      <c r="AK679">
        <v>1</v>
      </c>
      <c r="AL679" t="s">
        <v>9960</v>
      </c>
      <c r="AM679" t="s">
        <v>256</v>
      </c>
      <c r="AN679" t="s">
        <v>9961</v>
      </c>
      <c r="AO679" t="s">
        <v>74</v>
      </c>
      <c r="AP679" t="s">
        <v>74</v>
      </c>
      <c r="AQ679" t="s">
        <v>9962</v>
      </c>
      <c r="AR679" t="s">
        <v>74</v>
      </c>
      <c r="AS679" t="s">
        <v>74</v>
      </c>
      <c r="AT679" t="s">
        <v>74</v>
      </c>
      <c r="AU679">
        <v>2005</v>
      </c>
      <c r="AV679" t="s">
        <v>74</v>
      </c>
      <c r="AW679" t="s">
        <v>74</v>
      </c>
      <c r="AX679" t="s">
        <v>74</v>
      </c>
      <c r="AY679" t="s">
        <v>74</v>
      </c>
      <c r="AZ679" t="s">
        <v>74</v>
      </c>
      <c r="BA679" t="s">
        <v>74</v>
      </c>
      <c r="BB679">
        <v>80</v>
      </c>
      <c r="BC679">
        <v>100</v>
      </c>
      <c r="BD679" t="s">
        <v>74</v>
      </c>
      <c r="BE679" t="s">
        <v>74</v>
      </c>
      <c r="BF679" t="s">
        <v>74</v>
      </c>
      <c r="BG679" t="s">
        <v>9963</v>
      </c>
      <c r="BH679" t="s">
        <v>74</v>
      </c>
      <c r="BI679">
        <v>21</v>
      </c>
      <c r="BJ679" t="s">
        <v>1857</v>
      </c>
      <c r="BK679" t="s">
        <v>9004</v>
      </c>
      <c r="BL679" t="s">
        <v>1857</v>
      </c>
      <c r="BM679" t="s">
        <v>9964</v>
      </c>
      <c r="BN679" t="s">
        <v>74</v>
      </c>
      <c r="BO679" t="s">
        <v>74</v>
      </c>
      <c r="BP679" t="s">
        <v>74</v>
      </c>
      <c r="BQ679" t="s">
        <v>74</v>
      </c>
      <c r="BR679" t="s">
        <v>97</v>
      </c>
      <c r="BS679" t="s">
        <v>9983</v>
      </c>
      <c r="BT679" t="str">
        <f>HYPERLINK("https%3A%2F%2Fwww.webofscience.com%2Fwos%2Fwoscc%2Ffull-record%2FWOS:000297803900007","View Full Record in Web of Science")</f>
        <v>View Full Record in Web of Science</v>
      </c>
    </row>
    <row r="680" spans="1:72" x14ac:dyDescent="0.15">
      <c r="A680" t="s">
        <v>5114</v>
      </c>
      <c r="B680" t="s">
        <v>9952</v>
      </c>
      <c r="C680" t="s">
        <v>9952</v>
      </c>
      <c r="D680" t="s">
        <v>74</v>
      </c>
      <c r="E680" t="s">
        <v>74</v>
      </c>
      <c r="F680" t="s">
        <v>9953</v>
      </c>
      <c r="G680" t="s">
        <v>9952</v>
      </c>
      <c r="H680" t="s">
        <v>74</v>
      </c>
      <c r="I680" t="s">
        <v>9984</v>
      </c>
      <c r="J680" t="s">
        <v>9955</v>
      </c>
      <c r="K680" t="s">
        <v>74</v>
      </c>
      <c r="L680" t="s">
        <v>74</v>
      </c>
      <c r="M680" t="s">
        <v>77</v>
      </c>
      <c r="N680" t="s">
        <v>8991</v>
      </c>
      <c r="O680" t="s">
        <v>74</v>
      </c>
      <c r="P680" t="s">
        <v>74</v>
      </c>
      <c r="Q680" t="s">
        <v>74</v>
      </c>
      <c r="R680" t="s">
        <v>74</v>
      </c>
      <c r="S680" t="s">
        <v>74</v>
      </c>
      <c r="T680" t="s">
        <v>74</v>
      </c>
      <c r="U680" t="s">
        <v>74</v>
      </c>
      <c r="V680" t="s">
        <v>9985</v>
      </c>
      <c r="W680" t="s">
        <v>9957</v>
      </c>
      <c r="X680" t="s">
        <v>9958</v>
      </c>
      <c r="Y680" t="s">
        <v>9959</v>
      </c>
      <c r="Z680" t="s">
        <v>74</v>
      </c>
      <c r="AA680" t="s">
        <v>74</v>
      </c>
      <c r="AB680" t="s">
        <v>74</v>
      </c>
      <c r="AC680" t="s">
        <v>74</v>
      </c>
      <c r="AD680" t="s">
        <v>74</v>
      </c>
      <c r="AE680" t="s">
        <v>74</v>
      </c>
      <c r="AF680" t="s">
        <v>74</v>
      </c>
      <c r="AG680">
        <v>0</v>
      </c>
      <c r="AH680">
        <v>1</v>
      </c>
      <c r="AI680">
        <v>1</v>
      </c>
      <c r="AJ680">
        <v>0</v>
      </c>
      <c r="AK680">
        <v>1</v>
      </c>
      <c r="AL680" t="s">
        <v>9960</v>
      </c>
      <c r="AM680" t="s">
        <v>256</v>
      </c>
      <c r="AN680" t="s">
        <v>9961</v>
      </c>
      <c r="AO680" t="s">
        <v>74</v>
      </c>
      <c r="AP680" t="s">
        <v>74</v>
      </c>
      <c r="AQ680" t="s">
        <v>9962</v>
      </c>
      <c r="AR680" t="s">
        <v>74</v>
      </c>
      <c r="AS680" t="s">
        <v>74</v>
      </c>
      <c r="AT680" t="s">
        <v>74</v>
      </c>
      <c r="AU680">
        <v>2005</v>
      </c>
      <c r="AV680" t="s">
        <v>74</v>
      </c>
      <c r="AW680" t="s">
        <v>74</v>
      </c>
      <c r="AX680" t="s">
        <v>74</v>
      </c>
      <c r="AY680" t="s">
        <v>74</v>
      </c>
      <c r="AZ680" t="s">
        <v>74</v>
      </c>
      <c r="BA680" t="s">
        <v>74</v>
      </c>
      <c r="BB680">
        <v>101</v>
      </c>
      <c r="BC680">
        <v>115</v>
      </c>
      <c r="BD680" t="s">
        <v>74</v>
      </c>
      <c r="BE680" t="s">
        <v>74</v>
      </c>
      <c r="BF680" t="s">
        <v>74</v>
      </c>
      <c r="BG680" t="s">
        <v>9963</v>
      </c>
      <c r="BH680" t="s">
        <v>74</v>
      </c>
      <c r="BI680">
        <v>15</v>
      </c>
      <c r="BJ680" t="s">
        <v>1857</v>
      </c>
      <c r="BK680" t="s">
        <v>9004</v>
      </c>
      <c r="BL680" t="s">
        <v>1857</v>
      </c>
      <c r="BM680" t="s">
        <v>9964</v>
      </c>
      <c r="BN680" t="s">
        <v>74</v>
      </c>
      <c r="BO680" t="s">
        <v>74</v>
      </c>
      <c r="BP680" t="s">
        <v>74</v>
      </c>
      <c r="BQ680" t="s">
        <v>74</v>
      </c>
      <c r="BR680" t="s">
        <v>97</v>
      </c>
      <c r="BS680" t="s">
        <v>9986</v>
      </c>
      <c r="BT680" t="str">
        <f>HYPERLINK("https%3A%2F%2Fwww.webofscience.com%2Fwos%2Fwoscc%2Ffull-record%2FWOS:000297803900008","View Full Record in Web of Science")</f>
        <v>View Full Record in Web of Science</v>
      </c>
    </row>
    <row r="681" spans="1:72" x14ac:dyDescent="0.15">
      <c r="A681" t="s">
        <v>5114</v>
      </c>
      <c r="B681" t="s">
        <v>9952</v>
      </c>
      <c r="C681" t="s">
        <v>9952</v>
      </c>
      <c r="D681" t="s">
        <v>74</v>
      </c>
      <c r="E681" t="s">
        <v>74</v>
      </c>
      <c r="F681" t="s">
        <v>9953</v>
      </c>
      <c r="G681" t="s">
        <v>9952</v>
      </c>
      <c r="H681" t="s">
        <v>74</v>
      </c>
      <c r="I681" t="s">
        <v>9987</v>
      </c>
      <c r="J681" t="s">
        <v>9955</v>
      </c>
      <c r="K681" t="s">
        <v>74</v>
      </c>
      <c r="L681" t="s">
        <v>74</v>
      </c>
      <c r="M681" t="s">
        <v>77</v>
      </c>
      <c r="N681" t="s">
        <v>8991</v>
      </c>
      <c r="O681" t="s">
        <v>74</v>
      </c>
      <c r="P681" t="s">
        <v>74</v>
      </c>
      <c r="Q681" t="s">
        <v>74</v>
      </c>
      <c r="R681" t="s">
        <v>74</v>
      </c>
      <c r="S681" t="s">
        <v>74</v>
      </c>
      <c r="T681" t="s">
        <v>74</v>
      </c>
      <c r="U681" t="s">
        <v>74</v>
      </c>
      <c r="V681" t="s">
        <v>9988</v>
      </c>
      <c r="W681" t="s">
        <v>9957</v>
      </c>
      <c r="X681" t="s">
        <v>9958</v>
      </c>
      <c r="Y681" t="s">
        <v>9959</v>
      </c>
      <c r="Z681" t="s">
        <v>74</v>
      </c>
      <c r="AA681" t="s">
        <v>74</v>
      </c>
      <c r="AB681" t="s">
        <v>74</v>
      </c>
      <c r="AC681" t="s">
        <v>74</v>
      </c>
      <c r="AD681" t="s">
        <v>74</v>
      </c>
      <c r="AE681" t="s">
        <v>74</v>
      </c>
      <c r="AF681" t="s">
        <v>74</v>
      </c>
      <c r="AG681">
        <v>0</v>
      </c>
      <c r="AH681">
        <v>0</v>
      </c>
      <c r="AI681">
        <v>0</v>
      </c>
      <c r="AJ681">
        <v>0</v>
      </c>
      <c r="AK681">
        <v>3</v>
      </c>
      <c r="AL681" t="s">
        <v>9960</v>
      </c>
      <c r="AM681" t="s">
        <v>256</v>
      </c>
      <c r="AN681" t="s">
        <v>9961</v>
      </c>
      <c r="AO681" t="s">
        <v>74</v>
      </c>
      <c r="AP681" t="s">
        <v>74</v>
      </c>
      <c r="AQ681" t="s">
        <v>9962</v>
      </c>
      <c r="AR681" t="s">
        <v>74</v>
      </c>
      <c r="AS681" t="s">
        <v>74</v>
      </c>
      <c r="AT681" t="s">
        <v>74</v>
      </c>
      <c r="AU681">
        <v>2005</v>
      </c>
      <c r="AV681" t="s">
        <v>74</v>
      </c>
      <c r="AW681" t="s">
        <v>74</v>
      </c>
      <c r="AX681" t="s">
        <v>74</v>
      </c>
      <c r="AY681" t="s">
        <v>74</v>
      </c>
      <c r="AZ681" t="s">
        <v>74</v>
      </c>
      <c r="BA681" t="s">
        <v>74</v>
      </c>
      <c r="BB681">
        <v>116</v>
      </c>
      <c r="BC681">
        <v>130</v>
      </c>
      <c r="BD681" t="s">
        <v>74</v>
      </c>
      <c r="BE681" t="s">
        <v>74</v>
      </c>
      <c r="BF681" t="s">
        <v>74</v>
      </c>
      <c r="BG681" t="s">
        <v>9963</v>
      </c>
      <c r="BH681" t="s">
        <v>74</v>
      </c>
      <c r="BI681">
        <v>15</v>
      </c>
      <c r="BJ681" t="s">
        <v>1857</v>
      </c>
      <c r="BK681" t="s">
        <v>9004</v>
      </c>
      <c r="BL681" t="s">
        <v>1857</v>
      </c>
      <c r="BM681" t="s">
        <v>9964</v>
      </c>
      <c r="BN681" t="s">
        <v>74</v>
      </c>
      <c r="BO681" t="s">
        <v>74</v>
      </c>
      <c r="BP681" t="s">
        <v>74</v>
      </c>
      <c r="BQ681" t="s">
        <v>74</v>
      </c>
      <c r="BR681" t="s">
        <v>97</v>
      </c>
      <c r="BS681" t="s">
        <v>9989</v>
      </c>
      <c r="BT681" t="str">
        <f>HYPERLINK("https%3A%2F%2Fwww.webofscience.com%2Fwos%2Fwoscc%2Ffull-record%2FWOS:000297803900009","View Full Record in Web of Science")</f>
        <v>View Full Record in Web of Science</v>
      </c>
    </row>
    <row r="682" spans="1:72" x14ac:dyDescent="0.15">
      <c r="A682" t="s">
        <v>5114</v>
      </c>
      <c r="B682" t="s">
        <v>9952</v>
      </c>
      <c r="C682" t="s">
        <v>9952</v>
      </c>
      <c r="D682" t="s">
        <v>74</v>
      </c>
      <c r="E682" t="s">
        <v>74</v>
      </c>
      <c r="F682" t="s">
        <v>9953</v>
      </c>
      <c r="G682" t="s">
        <v>9952</v>
      </c>
      <c r="H682" t="s">
        <v>74</v>
      </c>
      <c r="I682" t="s">
        <v>9990</v>
      </c>
      <c r="J682" t="s">
        <v>9955</v>
      </c>
      <c r="K682" t="s">
        <v>74</v>
      </c>
      <c r="L682" t="s">
        <v>74</v>
      </c>
      <c r="M682" t="s">
        <v>77</v>
      </c>
      <c r="N682" t="s">
        <v>8991</v>
      </c>
      <c r="O682" t="s">
        <v>74</v>
      </c>
      <c r="P682" t="s">
        <v>74</v>
      </c>
      <c r="Q682" t="s">
        <v>74</v>
      </c>
      <c r="R682" t="s">
        <v>74</v>
      </c>
      <c r="S682" t="s">
        <v>74</v>
      </c>
      <c r="T682" t="s">
        <v>74</v>
      </c>
      <c r="U682" t="s">
        <v>74</v>
      </c>
      <c r="V682" t="s">
        <v>9991</v>
      </c>
      <c r="W682" t="s">
        <v>9957</v>
      </c>
      <c r="X682" t="s">
        <v>9958</v>
      </c>
      <c r="Y682" t="s">
        <v>9959</v>
      </c>
      <c r="Z682" t="s">
        <v>74</v>
      </c>
      <c r="AA682" t="s">
        <v>74</v>
      </c>
      <c r="AB682" t="s">
        <v>74</v>
      </c>
      <c r="AC682" t="s">
        <v>74</v>
      </c>
      <c r="AD682" t="s">
        <v>74</v>
      </c>
      <c r="AE682" t="s">
        <v>74</v>
      </c>
      <c r="AF682" t="s">
        <v>74</v>
      </c>
      <c r="AG682">
        <v>0</v>
      </c>
      <c r="AH682">
        <v>1</v>
      </c>
      <c r="AI682">
        <v>1</v>
      </c>
      <c r="AJ682">
        <v>0</v>
      </c>
      <c r="AK682">
        <v>3</v>
      </c>
      <c r="AL682" t="s">
        <v>9960</v>
      </c>
      <c r="AM682" t="s">
        <v>256</v>
      </c>
      <c r="AN682" t="s">
        <v>9961</v>
      </c>
      <c r="AO682" t="s">
        <v>74</v>
      </c>
      <c r="AP682" t="s">
        <v>74</v>
      </c>
      <c r="AQ682" t="s">
        <v>9962</v>
      </c>
      <c r="AR682" t="s">
        <v>74</v>
      </c>
      <c r="AS682" t="s">
        <v>74</v>
      </c>
      <c r="AT682" t="s">
        <v>74</v>
      </c>
      <c r="AU682">
        <v>2005</v>
      </c>
      <c r="AV682" t="s">
        <v>74</v>
      </c>
      <c r="AW682" t="s">
        <v>74</v>
      </c>
      <c r="AX682" t="s">
        <v>74</v>
      </c>
      <c r="AY682" t="s">
        <v>74</v>
      </c>
      <c r="AZ682" t="s">
        <v>74</v>
      </c>
      <c r="BA682" t="s">
        <v>74</v>
      </c>
      <c r="BB682">
        <v>131</v>
      </c>
      <c r="BC682">
        <v>145</v>
      </c>
      <c r="BD682" t="s">
        <v>74</v>
      </c>
      <c r="BE682" t="s">
        <v>74</v>
      </c>
      <c r="BF682" t="s">
        <v>74</v>
      </c>
      <c r="BG682" t="s">
        <v>9963</v>
      </c>
      <c r="BH682" t="s">
        <v>74</v>
      </c>
      <c r="BI682">
        <v>15</v>
      </c>
      <c r="BJ682" t="s">
        <v>1857</v>
      </c>
      <c r="BK682" t="s">
        <v>9004</v>
      </c>
      <c r="BL682" t="s">
        <v>1857</v>
      </c>
      <c r="BM682" t="s">
        <v>9964</v>
      </c>
      <c r="BN682" t="s">
        <v>74</v>
      </c>
      <c r="BO682" t="s">
        <v>74</v>
      </c>
      <c r="BP682" t="s">
        <v>74</v>
      </c>
      <c r="BQ682" t="s">
        <v>74</v>
      </c>
      <c r="BR682" t="s">
        <v>97</v>
      </c>
      <c r="BS682" t="s">
        <v>9992</v>
      </c>
      <c r="BT682" t="str">
        <f>HYPERLINK("https%3A%2F%2Fwww.webofscience.com%2Fwos%2Fwoscc%2Ffull-record%2FWOS:000297803900010","View Full Record in Web of Science")</f>
        <v>View Full Record in Web of Science</v>
      </c>
    </row>
    <row r="683" spans="1:72" x14ac:dyDescent="0.15">
      <c r="A683" t="s">
        <v>5114</v>
      </c>
      <c r="B683" t="s">
        <v>9952</v>
      </c>
      <c r="C683" t="s">
        <v>9952</v>
      </c>
      <c r="D683" t="s">
        <v>74</v>
      </c>
      <c r="E683" t="s">
        <v>74</v>
      </c>
      <c r="F683" t="s">
        <v>9953</v>
      </c>
      <c r="G683" t="s">
        <v>9952</v>
      </c>
      <c r="H683" t="s">
        <v>74</v>
      </c>
      <c r="I683" t="s">
        <v>9993</v>
      </c>
      <c r="J683" t="s">
        <v>9955</v>
      </c>
      <c r="K683" t="s">
        <v>74</v>
      </c>
      <c r="L683" t="s">
        <v>74</v>
      </c>
      <c r="M683" t="s">
        <v>77</v>
      </c>
      <c r="N683" t="s">
        <v>8991</v>
      </c>
      <c r="O683" t="s">
        <v>74</v>
      </c>
      <c r="P683" t="s">
        <v>74</v>
      </c>
      <c r="Q683" t="s">
        <v>74</v>
      </c>
      <c r="R683" t="s">
        <v>74</v>
      </c>
      <c r="S683" t="s">
        <v>74</v>
      </c>
      <c r="T683" t="s">
        <v>74</v>
      </c>
      <c r="U683" t="s">
        <v>74</v>
      </c>
      <c r="V683" t="s">
        <v>9994</v>
      </c>
      <c r="W683" t="s">
        <v>9957</v>
      </c>
      <c r="X683" t="s">
        <v>9958</v>
      </c>
      <c r="Y683" t="s">
        <v>9959</v>
      </c>
      <c r="Z683" t="s">
        <v>74</v>
      </c>
      <c r="AA683" t="s">
        <v>74</v>
      </c>
      <c r="AB683" t="s">
        <v>74</v>
      </c>
      <c r="AC683" t="s">
        <v>74</v>
      </c>
      <c r="AD683" t="s">
        <v>74</v>
      </c>
      <c r="AE683" t="s">
        <v>74</v>
      </c>
      <c r="AF683" t="s">
        <v>74</v>
      </c>
      <c r="AG683">
        <v>0</v>
      </c>
      <c r="AH683">
        <v>30</v>
      </c>
      <c r="AI683">
        <v>31</v>
      </c>
      <c r="AJ683">
        <v>0</v>
      </c>
      <c r="AK683">
        <v>1</v>
      </c>
      <c r="AL683" t="s">
        <v>9960</v>
      </c>
      <c r="AM683" t="s">
        <v>256</v>
      </c>
      <c r="AN683" t="s">
        <v>9961</v>
      </c>
      <c r="AO683" t="s">
        <v>74</v>
      </c>
      <c r="AP683" t="s">
        <v>74</v>
      </c>
      <c r="AQ683" t="s">
        <v>9962</v>
      </c>
      <c r="AR683" t="s">
        <v>74</v>
      </c>
      <c r="AS683" t="s">
        <v>74</v>
      </c>
      <c r="AT683" t="s">
        <v>74</v>
      </c>
      <c r="AU683">
        <v>2005</v>
      </c>
      <c r="AV683" t="s">
        <v>74</v>
      </c>
      <c r="AW683" t="s">
        <v>74</v>
      </c>
      <c r="AX683" t="s">
        <v>74</v>
      </c>
      <c r="AY683" t="s">
        <v>74</v>
      </c>
      <c r="AZ683" t="s">
        <v>74</v>
      </c>
      <c r="BA683" t="s">
        <v>74</v>
      </c>
      <c r="BB683">
        <v>146</v>
      </c>
      <c r="BC683">
        <v>160</v>
      </c>
      <c r="BD683" t="s">
        <v>74</v>
      </c>
      <c r="BE683" t="s">
        <v>74</v>
      </c>
      <c r="BF683" t="s">
        <v>74</v>
      </c>
      <c r="BG683" t="s">
        <v>9963</v>
      </c>
      <c r="BH683" t="s">
        <v>74</v>
      </c>
      <c r="BI683">
        <v>15</v>
      </c>
      <c r="BJ683" t="s">
        <v>1857</v>
      </c>
      <c r="BK683" t="s">
        <v>9004</v>
      </c>
      <c r="BL683" t="s">
        <v>1857</v>
      </c>
      <c r="BM683" t="s">
        <v>9964</v>
      </c>
      <c r="BN683" t="s">
        <v>74</v>
      </c>
      <c r="BO683" t="s">
        <v>74</v>
      </c>
      <c r="BP683" t="s">
        <v>74</v>
      </c>
      <c r="BQ683" t="s">
        <v>74</v>
      </c>
      <c r="BR683" t="s">
        <v>97</v>
      </c>
      <c r="BS683" t="s">
        <v>9995</v>
      </c>
      <c r="BT683" t="str">
        <f>HYPERLINK("https%3A%2F%2Fwww.webofscience.com%2Fwos%2Fwoscc%2Ffull-record%2FWOS:000297803900011","View Full Record in Web of Science")</f>
        <v>View Full Record in Web of Science</v>
      </c>
    </row>
    <row r="684" spans="1:72" x14ac:dyDescent="0.15">
      <c r="A684" t="s">
        <v>5114</v>
      </c>
      <c r="B684" t="s">
        <v>9952</v>
      </c>
      <c r="C684" t="s">
        <v>9952</v>
      </c>
      <c r="D684" t="s">
        <v>74</v>
      </c>
      <c r="E684" t="s">
        <v>74</v>
      </c>
      <c r="F684" t="s">
        <v>9953</v>
      </c>
      <c r="G684" t="s">
        <v>9952</v>
      </c>
      <c r="H684" t="s">
        <v>74</v>
      </c>
      <c r="I684" t="s">
        <v>9996</v>
      </c>
      <c r="J684" t="s">
        <v>9955</v>
      </c>
      <c r="K684" t="s">
        <v>74</v>
      </c>
      <c r="L684" t="s">
        <v>74</v>
      </c>
      <c r="M684" t="s">
        <v>77</v>
      </c>
      <c r="N684" t="s">
        <v>8991</v>
      </c>
      <c r="O684" t="s">
        <v>74</v>
      </c>
      <c r="P684" t="s">
        <v>74</v>
      </c>
      <c r="Q684" t="s">
        <v>74</v>
      </c>
      <c r="R684" t="s">
        <v>74</v>
      </c>
      <c r="S684" t="s">
        <v>74</v>
      </c>
      <c r="T684" t="s">
        <v>74</v>
      </c>
      <c r="U684" t="s">
        <v>74</v>
      </c>
      <c r="V684" t="s">
        <v>9997</v>
      </c>
      <c r="W684" t="s">
        <v>9957</v>
      </c>
      <c r="X684" t="s">
        <v>9958</v>
      </c>
      <c r="Y684" t="s">
        <v>9959</v>
      </c>
      <c r="Z684" t="s">
        <v>74</v>
      </c>
      <c r="AA684" t="s">
        <v>74</v>
      </c>
      <c r="AB684" t="s">
        <v>74</v>
      </c>
      <c r="AC684" t="s">
        <v>74</v>
      </c>
      <c r="AD684" t="s">
        <v>74</v>
      </c>
      <c r="AE684" t="s">
        <v>74</v>
      </c>
      <c r="AF684" t="s">
        <v>74</v>
      </c>
      <c r="AG684">
        <v>0</v>
      </c>
      <c r="AH684">
        <v>1</v>
      </c>
      <c r="AI684">
        <v>2</v>
      </c>
      <c r="AJ684">
        <v>0</v>
      </c>
      <c r="AK684">
        <v>1</v>
      </c>
      <c r="AL684" t="s">
        <v>9960</v>
      </c>
      <c r="AM684" t="s">
        <v>256</v>
      </c>
      <c r="AN684" t="s">
        <v>9961</v>
      </c>
      <c r="AO684" t="s">
        <v>74</v>
      </c>
      <c r="AP684" t="s">
        <v>74</v>
      </c>
      <c r="AQ684" t="s">
        <v>9962</v>
      </c>
      <c r="AR684" t="s">
        <v>74</v>
      </c>
      <c r="AS684" t="s">
        <v>74</v>
      </c>
      <c r="AT684" t="s">
        <v>74</v>
      </c>
      <c r="AU684">
        <v>2005</v>
      </c>
      <c r="AV684" t="s">
        <v>74</v>
      </c>
      <c r="AW684" t="s">
        <v>74</v>
      </c>
      <c r="AX684" t="s">
        <v>74</v>
      </c>
      <c r="AY684" t="s">
        <v>74</v>
      </c>
      <c r="AZ684" t="s">
        <v>74</v>
      </c>
      <c r="BA684" t="s">
        <v>74</v>
      </c>
      <c r="BB684">
        <v>161</v>
      </c>
      <c r="BC684">
        <v>175</v>
      </c>
      <c r="BD684" t="s">
        <v>74</v>
      </c>
      <c r="BE684" t="s">
        <v>74</v>
      </c>
      <c r="BF684" t="s">
        <v>74</v>
      </c>
      <c r="BG684" t="s">
        <v>9963</v>
      </c>
      <c r="BH684" t="s">
        <v>74</v>
      </c>
      <c r="BI684">
        <v>15</v>
      </c>
      <c r="BJ684" t="s">
        <v>1857</v>
      </c>
      <c r="BK684" t="s">
        <v>9004</v>
      </c>
      <c r="BL684" t="s">
        <v>1857</v>
      </c>
      <c r="BM684" t="s">
        <v>9964</v>
      </c>
      <c r="BN684" t="s">
        <v>74</v>
      </c>
      <c r="BO684" t="s">
        <v>74</v>
      </c>
      <c r="BP684" t="s">
        <v>74</v>
      </c>
      <c r="BQ684" t="s">
        <v>74</v>
      </c>
      <c r="BR684" t="s">
        <v>97</v>
      </c>
      <c r="BS684" t="s">
        <v>9998</v>
      </c>
      <c r="BT684" t="str">
        <f>HYPERLINK("https%3A%2F%2Fwww.webofscience.com%2Fwos%2Fwoscc%2Ffull-record%2FWOS:000297803900012","View Full Record in Web of Science")</f>
        <v>View Full Record in Web of Science</v>
      </c>
    </row>
    <row r="685" spans="1:72" x14ac:dyDescent="0.15">
      <c r="A685" t="s">
        <v>5114</v>
      </c>
      <c r="B685" t="s">
        <v>9952</v>
      </c>
      <c r="C685" t="s">
        <v>9952</v>
      </c>
      <c r="D685" t="s">
        <v>74</v>
      </c>
      <c r="E685" t="s">
        <v>74</v>
      </c>
      <c r="F685" t="s">
        <v>9953</v>
      </c>
      <c r="G685" t="s">
        <v>9952</v>
      </c>
      <c r="H685" t="s">
        <v>74</v>
      </c>
      <c r="I685" t="s">
        <v>9999</v>
      </c>
      <c r="J685" t="s">
        <v>9955</v>
      </c>
      <c r="K685" t="s">
        <v>74</v>
      </c>
      <c r="L685" t="s">
        <v>74</v>
      </c>
      <c r="M685" t="s">
        <v>77</v>
      </c>
      <c r="N685" t="s">
        <v>8991</v>
      </c>
      <c r="O685" t="s">
        <v>74</v>
      </c>
      <c r="P685" t="s">
        <v>74</v>
      </c>
      <c r="Q685" t="s">
        <v>74</v>
      </c>
      <c r="R685" t="s">
        <v>74</v>
      </c>
      <c r="S685" t="s">
        <v>74</v>
      </c>
      <c r="T685" t="s">
        <v>74</v>
      </c>
      <c r="U685" t="s">
        <v>74</v>
      </c>
      <c r="V685" t="s">
        <v>10000</v>
      </c>
      <c r="W685" t="s">
        <v>9957</v>
      </c>
      <c r="X685" t="s">
        <v>9958</v>
      </c>
      <c r="Y685" t="s">
        <v>9959</v>
      </c>
      <c r="Z685" t="s">
        <v>74</v>
      </c>
      <c r="AA685" t="s">
        <v>74</v>
      </c>
      <c r="AB685" t="s">
        <v>74</v>
      </c>
      <c r="AC685" t="s">
        <v>74</v>
      </c>
      <c r="AD685" t="s">
        <v>74</v>
      </c>
      <c r="AE685" t="s">
        <v>74</v>
      </c>
      <c r="AF685" t="s">
        <v>74</v>
      </c>
      <c r="AG685">
        <v>0</v>
      </c>
      <c r="AH685">
        <v>3</v>
      </c>
      <c r="AI685">
        <v>3</v>
      </c>
      <c r="AJ685">
        <v>1</v>
      </c>
      <c r="AK685">
        <v>8</v>
      </c>
      <c r="AL685" t="s">
        <v>9960</v>
      </c>
      <c r="AM685" t="s">
        <v>256</v>
      </c>
      <c r="AN685" t="s">
        <v>9961</v>
      </c>
      <c r="AO685" t="s">
        <v>74</v>
      </c>
      <c r="AP685" t="s">
        <v>74</v>
      </c>
      <c r="AQ685" t="s">
        <v>9962</v>
      </c>
      <c r="AR685" t="s">
        <v>74</v>
      </c>
      <c r="AS685" t="s">
        <v>74</v>
      </c>
      <c r="AT685" t="s">
        <v>74</v>
      </c>
      <c r="AU685">
        <v>2005</v>
      </c>
      <c r="AV685" t="s">
        <v>74</v>
      </c>
      <c r="AW685" t="s">
        <v>74</v>
      </c>
      <c r="AX685" t="s">
        <v>74</v>
      </c>
      <c r="AY685" t="s">
        <v>74</v>
      </c>
      <c r="AZ685" t="s">
        <v>74</v>
      </c>
      <c r="BA685" t="s">
        <v>74</v>
      </c>
      <c r="BB685">
        <v>176</v>
      </c>
      <c r="BC685">
        <v>204</v>
      </c>
      <c r="BD685" t="s">
        <v>74</v>
      </c>
      <c r="BE685" t="s">
        <v>74</v>
      </c>
      <c r="BF685" t="s">
        <v>74</v>
      </c>
      <c r="BG685" t="s">
        <v>9963</v>
      </c>
      <c r="BH685" t="s">
        <v>74</v>
      </c>
      <c r="BI685">
        <v>29</v>
      </c>
      <c r="BJ685" t="s">
        <v>1857</v>
      </c>
      <c r="BK685" t="s">
        <v>9004</v>
      </c>
      <c r="BL685" t="s">
        <v>1857</v>
      </c>
      <c r="BM685" t="s">
        <v>9964</v>
      </c>
      <c r="BN685" t="s">
        <v>74</v>
      </c>
      <c r="BO685" t="s">
        <v>74</v>
      </c>
      <c r="BP685" t="s">
        <v>74</v>
      </c>
      <c r="BQ685" t="s">
        <v>74</v>
      </c>
      <c r="BR685" t="s">
        <v>97</v>
      </c>
      <c r="BS685" t="s">
        <v>10001</v>
      </c>
      <c r="BT685" t="str">
        <f>HYPERLINK("https%3A%2F%2Fwww.webofscience.com%2Fwos%2Fwoscc%2Ffull-record%2FWOS:000297803900013","View Full Record in Web of Science")</f>
        <v>View Full Record in Web of Science</v>
      </c>
    </row>
    <row r="686" spans="1:72" x14ac:dyDescent="0.15">
      <c r="A686" t="s">
        <v>5114</v>
      </c>
      <c r="B686" t="s">
        <v>9952</v>
      </c>
      <c r="C686" t="s">
        <v>9952</v>
      </c>
      <c r="D686" t="s">
        <v>74</v>
      </c>
      <c r="E686" t="s">
        <v>74</v>
      </c>
      <c r="F686" t="s">
        <v>9953</v>
      </c>
      <c r="G686" t="s">
        <v>9952</v>
      </c>
      <c r="H686" t="s">
        <v>74</v>
      </c>
      <c r="I686" t="s">
        <v>10002</v>
      </c>
      <c r="J686" t="s">
        <v>9955</v>
      </c>
      <c r="K686" t="s">
        <v>74</v>
      </c>
      <c r="L686" t="s">
        <v>74</v>
      </c>
      <c r="M686" t="s">
        <v>77</v>
      </c>
      <c r="N686" t="s">
        <v>8991</v>
      </c>
      <c r="O686" t="s">
        <v>74</v>
      </c>
      <c r="P686" t="s">
        <v>74</v>
      </c>
      <c r="Q686" t="s">
        <v>74</v>
      </c>
      <c r="R686" t="s">
        <v>74</v>
      </c>
      <c r="S686" t="s">
        <v>74</v>
      </c>
      <c r="T686" t="s">
        <v>74</v>
      </c>
      <c r="U686" t="s">
        <v>74</v>
      </c>
      <c r="V686" t="s">
        <v>10003</v>
      </c>
      <c r="W686" t="s">
        <v>9957</v>
      </c>
      <c r="X686" t="s">
        <v>9958</v>
      </c>
      <c r="Y686" t="s">
        <v>9959</v>
      </c>
      <c r="Z686" t="s">
        <v>74</v>
      </c>
      <c r="AA686" t="s">
        <v>74</v>
      </c>
      <c r="AB686" t="s">
        <v>74</v>
      </c>
      <c r="AC686" t="s">
        <v>74</v>
      </c>
      <c r="AD686" t="s">
        <v>74</v>
      </c>
      <c r="AE686" t="s">
        <v>74</v>
      </c>
      <c r="AF686" t="s">
        <v>74</v>
      </c>
      <c r="AG686">
        <v>0</v>
      </c>
      <c r="AH686">
        <v>1</v>
      </c>
      <c r="AI686">
        <v>2</v>
      </c>
      <c r="AJ686">
        <v>1</v>
      </c>
      <c r="AK686">
        <v>2</v>
      </c>
      <c r="AL686" t="s">
        <v>9960</v>
      </c>
      <c r="AM686" t="s">
        <v>256</v>
      </c>
      <c r="AN686" t="s">
        <v>9961</v>
      </c>
      <c r="AO686" t="s">
        <v>74</v>
      </c>
      <c r="AP686" t="s">
        <v>74</v>
      </c>
      <c r="AQ686" t="s">
        <v>9962</v>
      </c>
      <c r="AR686" t="s">
        <v>74</v>
      </c>
      <c r="AS686" t="s">
        <v>74</v>
      </c>
      <c r="AT686" t="s">
        <v>74</v>
      </c>
      <c r="AU686">
        <v>2005</v>
      </c>
      <c r="AV686" t="s">
        <v>74</v>
      </c>
      <c r="AW686" t="s">
        <v>74</v>
      </c>
      <c r="AX686" t="s">
        <v>74</v>
      </c>
      <c r="AY686" t="s">
        <v>74</v>
      </c>
      <c r="AZ686" t="s">
        <v>74</v>
      </c>
      <c r="BA686" t="s">
        <v>74</v>
      </c>
      <c r="BB686">
        <v>205</v>
      </c>
      <c r="BC686">
        <v>221</v>
      </c>
      <c r="BD686" t="s">
        <v>74</v>
      </c>
      <c r="BE686" t="s">
        <v>74</v>
      </c>
      <c r="BF686" t="s">
        <v>74</v>
      </c>
      <c r="BG686" t="s">
        <v>9963</v>
      </c>
      <c r="BH686" t="s">
        <v>74</v>
      </c>
      <c r="BI686">
        <v>17</v>
      </c>
      <c r="BJ686" t="s">
        <v>1857</v>
      </c>
      <c r="BK686" t="s">
        <v>9004</v>
      </c>
      <c r="BL686" t="s">
        <v>1857</v>
      </c>
      <c r="BM686" t="s">
        <v>9964</v>
      </c>
      <c r="BN686" t="s">
        <v>74</v>
      </c>
      <c r="BO686" t="s">
        <v>74</v>
      </c>
      <c r="BP686" t="s">
        <v>74</v>
      </c>
      <c r="BQ686" t="s">
        <v>74</v>
      </c>
      <c r="BR686" t="s">
        <v>97</v>
      </c>
      <c r="BS686" t="s">
        <v>10004</v>
      </c>
      <c r="BT686" t="str">
        <f>HYPERLINK("https%3A%2F%2Fwww.webofscience.com%2Fwos%2Fwoscc%2Ffull-record%2FWOS:000297803900014","View Full Record in Web of Science")</f>
        <v>View Full Record in Web of Science</v>
      </c>
    </row>
    <row r="687" spans="1:72" x14ac:dyDescent="0.15">
      <c r="A687" t="s">
        <v>5114</v>
      </c>
      <c r="B687" t="s">
        <v>9952</v>
      </c>
      <c r="C687" t="s">
        <v>9952</v>
      </c>
      <c r="D687" t="s">
        <v>74</v>
      </c>
      <c r="E687" t="s">
        <v>74</v>
      </c>
      <c r="F687" t="s">
        <v>9953</v>
      </c>
      <c r="G687" t="s">
        <v>9952</v>
      </c>
      <c r="H687" t="s">
        <v>74</v>
      </c>
      <c r="I687" t="s">
        <v>10005</v>
      </c>
      <c r="J687" t="s">
        <v>9955</v>
      </c>
      <c r="K687" t="s">
        <v>74</v>
      </c>
      <c r="L687" t="s">
        <v>74</v>
      </c>
      <c r="M687" t="s">
        <v>77</v>
      </c>
      <c r="N687" t="s">
        <v>8991</v>
      </c>
      <c r="O687" t="s">
        <v>74</v>
      </c>
      <c r="P687" t="s">
        <v>74</v>
      </c>
      <c r="Q687" t="s">
        <v>74</v>
      </c>
      <c r="R687" t="s">
        <v>74</v>
      </c>
      <c r="S687" t="s">
        <v>74</v>
      </c>
      <c r="T687" t="s">
        <v>74</v>
      </c>
      <c r="U687" t="s">
        <v>74</v>
      </c>
      <c r="V687" t="s">
        <v>10006</v>
      </c>
      <c r="W687" t="s">
        <v>9957</v>
      </c>
      <c r="X687" t="s">
        <v>9958</v>
      </c>
      <c r="Y687" t="s">
        <v>9959</v>
      </c>
      <c r="Z687" t="s">
        <v>74</v>
      </c>
      <c r="AA687" t="s">
        <v>74</v>
      </c>
      <c r="AB687" t="s">
        <v>74</v>
      </c>
      <c r="AC687" t="s">
        <v>74</v>
      </c>
      <c r="AD687" t="s">
        <v>74</v>
      </c>
      <c r="AE687" t="s">
        <v>74</v>
      </c>
      <c r="AF687" t="s">
        <v>74</v>
      </c>
      <c r="AG687">
        <v>0</v>
      </c>
      <c r="AH687">
        <v>4</v>
      </c>
      <c r="AI687">
        <v>5</v>
      </c>
      <c r="AJ687">
        <v>0</v>
      </c>
      <c r="AK687">
        <v>12</v>
      </c>
      <c r="AL687" t="s">
        <v>9960</v>
      </c>
      <c r="AM687" t="s">
        <v>256</v>
      </c>
      <c r="AN687" t="s">
        <v>9961</v>
      </c>
      <c r="AO687" t="s">
        <v>74</v>
      </c>
      <c r="AP687" t="s">
        <v>74</v>
      </c>
      <c r="AQ687" t="s">
        <v>9962</v>
      </c>
      <c r="AR687" t="s">
        <v>74</v>
      </c>
      <c r="AS687" t="s">
        <v>74</v>
      </c>
      <c r="AT687" t="s">
        <v>74</v>
      </c>
      <c r="AU687">
        <v>2005</v>
      </c>
      <c r="AV687" t="s">
        <v>74</v>
      </c>
      <c r="AW687" t="s">
        <v>74</v>
      </c>
      <c r="AX687" t="s">
        <v>74</v>
      </c>
      <c r="AY687" t="s">
        <v>74</v>
      </c>
      <c r="AZ687" t="s">
        <v>74</v>
      </c>
      <c r="BA687" t="s">
        <v>74</v>
      </c>
      <c r="BB687">
        <v>222</v>
      </c>
      <c r="BC687">
        <v>233</v>
      </c>
      <c r="BD687" t="s">
        <v>74</v>
      </c>
      <c r="BE687" t="s">
        <v>74</v>
      </c>
      <c r="BF687" t="s">
        <v>74</v>
      </c>
      <c r="BG687" t="s">
        <v>9963</v>
      </c>
      <c r="BH687" t="s">
        <v>74</v>
      </c>
      <c r="BI687">
        <v>12</v>
      </c>
      <c r="BJ687" t="s">
        <v>1857</v>
      </c>
      <c r="BK687" t="s">
        <v>9004</v>
      </c>
      <c r="BL687" t="s">
        <v>1857</v>
      </c>
      <c r="BM687" t="s">
        <v>9964</v>
      </c>
      <c r="BN687" t="s">
        <v>74</v>
      </c>
      <c r="BO687" t="s">
        <v>74</v>
      </c>
      <c r="BP687" t="s">
        <v>74</v>
      </c>
      <c r="BQ687" t="s">
        <v>74</v>
      </c>
      <c r="BR687" t="s">
        <v>97</v>
      </c>
      <c r="BS687" t="s">
        <v>10007</v>
      </c>
      <c r="BT687" t="str">
        <f>HYPERLINK("https%3A%2F%2Fwww.webofscience.com%2Fwos%2Fwoscc%2Ffull-record%2FWOS:000297803900015","View Full Record in Web of Science")</f>
        <v>View Full Record in Web of Science</v>
      </c>
    </row>
    <row r="688" spans="1:72" x14ac:dyDescent="0.15">
      <c r="A688" t="s">
        <v>5114</v>
      </c>
      <c r="B688" t="s">
        <v>9952</v>
      </c>
      <c r="C688" t="s">
        <v>9952</v>
      </c>
      <c r="D688" t="s">
        <v>74</v>
      </c>
      <c r="E688" t="s">
        <v>74</v>
      </c>
      <c r="F688" t="s">
        <v>9953</v>
      </c>
      <c r="G688" t="s">
        <v>9952</v>
      </c>
      <c r="H688" t="s">
        <v>74</v>
      </c>
      <c r="I688" t="s">
        <v>10008</v>
      </c>
      <c r="J688" t="s">
        <v>9955</v>
      </c>
      <c r="K688" t="s">
        <v>74</v>
      </c>
      <c r="L688" t="s">
        <v>74</v>
      </c>
      <c r="M688" t="s">
        <v>77</v>
      </c>
      <c r="N688" t="s">
        <v>8991</v>
      </c>
      <c r="O688" t="s">
        <v>74</v>
      </c>
      <c r="P688" t="s">
        <v>74</v>
      </c>
      <c r="Q688" t="s">
        <v>74</v>
      </c>
      <c r="R688" t="s">
        <v>74</v>
      </c>
      <c r="S688" t="s">
        <v>74</v>
      </c>
      <c r="T688" t="s">
        <v>74</v>
      </c>
      <c r="U688" t="s">
        <v>74</v>
      </c>
      <c r="V688" t="s">
        <v>10009</v>
      </c>
      <c r="W688" t="s">
        <v>9957</v>
      </c>
      <c r="X688" t="s">
        <v>9958</v>
      </c>
      <c r="Y688" t="s">
        <v>9959</v>
      </c>
      <c r="Z688" t="s">
        <v>74</v>
      </c>
      <c r="AA688" t="s">
        <v>74</v>
      </c>
      <c r="AB688" t="s">
        <v>74</v>
      </c>
      <c r="AC688" t="s">
        <v>74</v>
      </c>
      <c r="AD688" t="s">
        <v>74</v>
      </c>
      <c r="AE688" t="s">
        <v>74</v>
      </c>
      <c r="AF688" t="s">
        <v>74</v>
      </c>
      <c r="AG688">
        <v>0</v>
      </c>
      <c r="AH688">
        <v>14</v>
      </c>
      <c r="AI688">
        <v>15</v>
      </c>
      <c r="AJ688">
        <v>0</v>
      </c>
      <c r="AK688">
        <v>5</v>
      </c>
      <c r="AL688" t="s">
        <v>9960</v>
      </c>
      <c r="AM688" t="s">
        <v>256</v>
      </c>
      <c r="AN688" t="s">
        <v>9961</v>
      </c>
      <c r="AO688" t="s">
        <v>74</v>
      </c>
      <c r="AP688" t="s">
        <v>74</v>
      </c>
      <c r="AQ688" t="s">
        <v>9962</v>
      </c>
      <c r="AR688" t="s">
        <v>74</v>
      </c>
      <c r="AS688" t="s">
        <v>74</v>
      </c>
      <c r="AT688" t="s">
        <v>74</v>
      </c>
      <c r="AU688">
        <v>2005</v>
      </c>
      <c r="AV688" t="s">
        <v>74</v>
      </c>
      <c r="AW688" t="s">
        <v>74</v>
      </c>
      <c r="AX688" t="s">
        <v>74</v>
      </c>
      <c r="AY688" t="s">
        <v>74</v>
      </c>
      <c r="AZ688" t="s">
        <v>74</v>
      </c>
      <c r="BA688" t="s">
        <v>74</v>
      </c>
      <c r="BB688">
        <v>234</v>
      </c>
      <c r="BC688">
        <v>258</v>
      </c>
      <c r="BD688" t="s">
        <v>74</v>
      </c>
      <c r="BE688" t="s">
        <v>74</v>
      </c>
      <c r="BF688" t="s">
        <v>74</v>
      </c>
      <c r="BG688" t="s">
        <v>9963</v>
      </c>
      <c r="BH688" t="s">
        <v>74</v>
      </c>
      <c r="BI688">
        <v>25</v>
      </c>
      <c r="BJ688" t="s">
        <v>1857</v>
      </c>
      <c r="BK688" t="s">
        <v>9004</v>
      </c>
      <c r="BL688" t="s">
        <v>1857</v>
      </c>
      <c r="BM688" t="s">
        <v>9964</v>
      </c>
      <c r="BN688" t="s">
        <v>74</v>
      </c>
      <c r="BO688" t="s">
        <v>74</v>
      </c>
      <c r="BP688" t="s">
        <v>74</v>
      </c>
      <c r="BQ688" t="s">
        <v>74</v>
      </c>
      <c r="BR688" t="s">
        <v>97</v>
      </c>
      <c r="BS688" t="s">
        <v>10010</v>
      </c>
      <c r="BT688" t="str">
        <f>HYPERLINK("https%3A%2F%2Fwww.webofscience.com%2Fwos%2Fwoscc%2Ffull-record%2FWOS:000297803900016","View Full Record in Web of Science")</f>
        <v>View Full Record in Web of Science</v>
      </c>
    </row>
    <row r="689" spans="1:72" x14ac:dyDescent="0.15">
      <c r="A689" t="s">
        <v>5114</v>
      </c>
      <c r="B689" t="s">
        <v>9952</v>
      </c>
      <c r="C689" t="s">
        <v>9952</v>
      </c>
      <c r="D689" t="s">
        <v>74</v>
      </c>
      <c r="E689" t="s">
        <v>74</v>
      </c>
      <c r="F689" t="s">
        <v>9953</v>
      </c>
      <c r="G689" t="s">
        <v>9952</v>
      </c>
      <c r="H689" t="s">
        <v>74</v>
      </c>
      <c r="I689" t="s">
        <v>10011</v>
      </c>
      <c r="J689" t="s">
        <v>9955</v>
      </c>
      <c r="K689" t="s">
        <v>74</v>
      </c>
      <c r="L689" t="s">
        <v>74</v>
      </c>
      <c r="M689" t="s">
        <v>77</v>
      </c>
      <c r="N689" t="s">
        <v>8991</v>
      </c>
      <c r="O689" t="s">
        <v>74</v>
      </c>
      <c r="P689" t="s">
        <v>74</v>
      </c>
      <c r="Q689" t="s">
        <v>74</v>
      </c>
      <c r="R689" t="s">
        <v>74</v>
      </c>
      <c r="S689" t="s">
        <v>74</v>
      </c>
      <c r="T689" t="s">
        <v>74</v>
      </c>
      <c r="U689" t="s">
        <v>74</v>
      </c>
      <c r="V689" t="s">
        <v>10012</v>
      </c>
      <c r="W689" t="s">
        <v>9957</v>
      </c>
      <c r="X689" t="s">
        <v>9958</v>
      </c>
      <c r="Y689" t="s">
        <v>9959</v>
      </c>
      <c r="Z689" t="s">
        <v>74</v>
      </c>
      <c r="AA689" t="s">
        <v>74</v>
      </c>
      <c r="AB689" t="s">
        <v>74</v>
      </c>
      <c r="AC689" t="s">
        <v>74</v>
      </c>
      <c r="AD689" t="s">
        <v>74</v>
      </c>
      <c r="AE689" t="s">
        <v>74</v>
      </c>
      <c r="AF689" t="s">
        <v>74</v>
      </c>
      <c r="AG689">
        <v>0</v>
      </c>
      <c r="AH689">
        <v>2</v>
      </c>
      <c r="AI689">
        <v>2</v>
      </c>
      <c r="AJ689">
        <v>0</v>
      </c>
      <c r="AK689">
        <v>2</v>
      </c>
      <c r="AL689" t="s">
        <v>9960</v>
      </c>
      <c r="AM689" t="s">
        <v>256</v>
      </c>
      <c r="AN689" t="s">
        <v>9961</v>
      </c>
      <c r="AO689" t="s">
        <v>74</v>
      </c>
      <c r="AP689" t="s">
        <v>74</v>
      </c>
      <c r="AQ689" t="s">
        <v>9962</v>
      </c>
      <c r="AR689" t="s">
        <v>74</v>
      </c>
      <c r="AS689" t="s">
        <v>74</v>
      </c>
      <c r="AT689" t="s">
        <v>74</v>
      </c>
      <c r="AU689">
        <v>2005</v>
      </c>
      <c r="AV689" t="s">
        <v>74</v>
      </c>
      <c r="AW689" t="s">
        <v>74</v>
      </c>
      <c r="AX689" t="s">
        <v>74</v>
      </c>
      <c r="AY689" t="s">
        <v>74</v>
      </c>
      <c r="AZ689" t="s">
        <v>74</v>
      </c>
      <c r="BA689" t="s">
        <v>74</v>
      </c>
      <c r="BB689">
        <v>259</v>
      </c>
      <c r="BC689">
        <v>276</v>
      </c>
      <c r="BD689" t="s">
        <v>74</v>
      </c>
      <c r="BE689" t="s">
        <v>74</v>
      </c>
      <c r="BF689" t="s">
        <v>74</v>
      </c>
      <c r="BG689" t="s">
        <v>9963</v>
      </c>
      <c r="BH689" t="s">
        <v>74</v>
      </c>
      <c r="BI689">
        <v>18</v>
      </c>
      <c r="BJ689" t="s">
        <v>1857</v>
      </c>
      <c r="BK689" t="s">
        <v>9004</v>
      </c>
      <c r="BL689" t="s">
        <v>1857</v>
      </c>
      <c r="BM689" t="s">
        <v>9964</v>
      </c>
      <c r="BN689" t="s">
        <v>74</v>
      </c>
      <c r="BO689" t="s">
        <v>74</v>
      </c>
      <c r="BP689" t="s">
        <v>74</v>
      </c>
      <c r="BQ689" t="s">
        <v>74</v>
      </c>
      <c r="BR689" t="s">
        <v>97</v>
      </c>
      <c r="BS689" t="s">
        <v>10013</v>
      </c>
      <c r="BT689" t="str">
        <f>HYPERLINK("https%3A%2F%2Fwww.webofscience.com%2Fwos%2Fwoscc%2Ffull-record%2FWOS:000297803900017","View Full Record in Web of Science")</f>
        <v>View Full Record in Web of Science</v>
      </c>
    </row>
    <row r="690" spans="1:72" x14ac:dyDescent="0.15">
      <c r="A690" t="s">
        <v>5114</v>
      </c>
      <c r="B690" t="s">
        <v>9952</v>
      </c>
      <c r="C690" t="s">
        <v>9952</v>
      </c>
      <c r="D690" t="s">
        <v>74</v>
      </c>
      <c r="E690" t="s">
        <v>74</v>
      </c>
      <c r="F690" t="s">
        <v>9953</v>
      </c>
      <c r="G690" t="s">
        <v>9952</v>
      </c>
      <c r="H690" t="s">
        <v>74</v>
      </c>
      <c r="I690" t="s">
        <v>10014</v>
      </c>
      <c r="J690" t="s">
        <v>9955</v>
      </c>
      <c r="K690" t="s">
        <v>74</v>
      </c>
      <c r="L690" t="s">
        <v>74</v>
      </c>
      <c r="M690" t="s">
        <v>77</v>
      </c>
      <c r="N690" t="s">
        <v>8991</v>
      </c>
      <c r="O690" t="s">
        <v>74</v>
      </c>
      <c r="P690" t="s">
        <v>74</v>
      </c>
      <c r="Q690" t="s">
        <v>74</v>
      </c>
      <c r="R690" t="s">
        <v>74</v>
      </c>
      <c r="S690" t="s">
        <v>74</v>
      </c>
      <c r="T690" t="s">
        <v>74</v>
      </c>
      <c r="U690" t="s">
        <v>74</v>
      </c>
      <c r="V690" t="s">
        <v>10015</v>
      </c>
      <c r="W690" t="s">
        <v>9957</v>
      </c>
      <c r="X690" t="s">
        <v>9958</v>
      </c>
      <c r="Y690" t="s">
        <v>9959</v>
      </c>
      <c r="Z690" t="s">
        <v>74</v>
      </c>
      <c r="AA690" t="s">
        <v>74</v>
      </c>
      <c r="AB690" t="s">
        <v>74</v>
      </c>
      <c r="AC690" t="s">
        <v>74</v>
      </c>
      <c r="AD690" t="s">
        <v>74</v>
      </c>
      <c r="AE690" t="s">
        <v>74</v>
      </c>
      <c r="AF690" t="s">
        <v>74</v>
      </c>
      <c r="AG690">
        <v>0</v>
      </c>
      <c r="AH690">
        <v>1</v>
      </c>
      <c r="AI690">
        <v>1</v>
      </c>
      <c r="AJ690">
        <v>0</v>
      </c>
      <c r="AK690">
        <v>3</v>
      </c>
      <c r="AL690" t="s">
        <v>9960</v>
      </c>
      <c r="AM690" t="s">
        <v>256</v>
      </c>
      <c r="AN690" t="s">
        <v>9961</v>
      </c>
      <c r="AO690" t="s">
        <v>74</v>
      </c>
      <c r="AP690" t="s">
        <v>74</v>
      </c>
      <c r="AQ690" t="s">
        <v>9962</v>
      </c>
      <c r="AR690" t="s">
        <v>74</v>
      </c>
      <c r="AS690" t="s">
        <v>74</v>
      </c>
      <c r="AT690" t="s">
        <v>74</v>
      </c>
      <c r="AU690">
        <v>2005</v>
      </c>
      <c r="AV690" t="s">
        <v>74</v>
      </c>
      <c r="AW690" t="s">
        <v>74</v>
      </c>
      <c r="AX690" t="s">
        <v>74</v>
      </c>
      <c r="AY690" t="s">
        <v>74</v>
      </c>
      <c r="AZ690" t="s">
        <v>74</v>
      </c>
      <c r="BA690" t="s">
        <v>74</v>
      </c>
      <c r="BB690">
        <v>277</v>
      </c>
      <c r="BC690">
        <v>295</v>
      </c>
      <c r="BD690" t="s">
        <v>74</v>
      </c>
      <c r="BE690" t="s">
        <v>74</v>
      </c>
      <c r="BF690" t="s">
        <v>74</v>
      </c>
      <c r="BG690" t="s">
        <v>9963</v>
      </c>
      <c r="BH690" t="s">
        <v>74</v>
      </c>
      <c r="BI690">
        <v>19</v>
      </c>
      <c r="BJ690" t="s">
        <v>1857</v>
      </c>
      <c r="BK690" t="s">
        <v>9004</v>
      </c>
      <c r="BL690" t="s">
        <v>1857</v>
      </c>
      <c r="BM690" t="s">
        <v>9964</v>
      </c>
      <c r="BN690" t="s">
        <v>74</v>
      </c>
      <c r="BO690" t="s">
        <v>74</v>
      </c>
      <c r="BP690" t="s">
        <v>74</v>
      </c>
      <c r="BQ690" t="s">
        <v>74</v>
      </c>
      <c r="BR690" t="s">
        <v>97</v>
      </c>
      <c r="BS690" t="s">
        <v>10016</v>
      </c>
      <c r="BT690" t="str">
        <f>HYPERLINK("https%3A%2F%2Fwww.webofscience.com%2Fwos%2Fwoscc%2Ffull-record%2FWOS:000297803900018","View Full Record in Web of Science")</f>
        <v>View Full Record in Web of Science</v>
      </c>
    </row>
    <row r="691" spans="1:72" x14ac:dyDescent="0.15">
      <c r="A691" t="s">
        <v>5114</v>
      </c>
      <c r="B691" t="s">
        <v>9952</v>
      </c>
      <c r="C691" t="s">
        <v>9952</v>
      </c>
      <c r="D691" t="s">
        <v>74</v>
      </c>
      <c r="E691" t="s">
        <v>74</v>
      </c>
      <c r="F691" t="s">
        <v>9953</v>
      </c>
      <c r="G691" t="s">
        <v>9952</v>
      </c>
      <c r="H691" t="s">
        <v>74</v>
      </c>
      <c r="I691" t="s">
        <v>10017</v>
      </c>
      <c r="J691" t="s">
        <v>9955</v>
      </c>
      <c r="K691" t="s">
        <v>74</v>
      </c>
      <c r="L691" t="s">
        <v>74</v>
      </c>
      <c r="M691" t="s">
        <v>77</v>
      </c>
      <c r="N691" t="s">
        <v>8991</v>
      </c>
      <c r="O691" t="s">
        <v>74</v>
      </c>
      <c r="P691" t="s">
        <v>74</v>
      </c>
      <c r="Q691" t="s">
        <v>74</v>
      </c>
      <c r="R691" t="s">
        <v>74</v>
      </c>
      <c r="S691" t="s">
        <v>74</v>
      </c>
      <c r="T691" t="s">
        <v>74</v>
      </c>
      <c r="U691" t="s">
        <v>74</v>
      </c>
      <c r="V691" t="s">
        <v>10018</v>
      </c>
      <c r="W691" t="s">
        <v>9957</v>
      </c>
      <c r="X691" t="s">
        <v>9958</v>
      </c>
      <c r="Y691" t="s">
        <v>9959</v>
      </c>
      <c r="Z691" t="s">
        <v>74</v>
      </c>
      <c r="AA691" t="s">
        <v>74</v>
      </c>
      <c r="AB691" t="s">
        <v>74</v>
      </c>
      <c r="AC691" t="s">
        <v>74</v>
      </c>
      <c r="AD691" t="s">
        <v>74</v>
      </c>
      <c r="AE691" t="s">
        <v>74</v>
      </c>
      <c r="AF691" t="s">
        <v>74</v>
      </c>
      <c r="AG691">
        <v>0</v>
      </c>
      <c r="AH691">
        <v>0</v>
      </c>
      <c r="AI691">
        <v>0</v>
      </c>
      <c r="AJ691">
        <v>0</v>
      </c>
      <c r="AK691">
        <v>0</v>
      </c>
      <c r="AL691" t="s">
        <v>9960</v>
      </c>
      <c r="AM691" t="s">
        <v>256</v>
      </c>
      <c r="AN691" t="s">
        <v>9961</v>
      </c>
      <c r="AO691" t="s">
        <v>74</v>
      </c>
      <c r="AP691" t="s">
        <v>74</v>
      </c>
      <c r="AQ691" t="s">
        <v>9962</v>
      </c>
      <c r="AR691" t="s">
        <v>74</v>
      </c>
      <c r="AS691" t="s">
        <v>74</v>
      </c>
      <c r="AT691" t="s">
        <v>74</v>
      </c>
      <c r="AU691">
        <v>2005</v>
      </c>
      <c r="AV691" t="s">
        <v>74</v>
      </c>
      <c r="AW691" t="s">
        <v>74</v>
      </c>
      <c r="AX691" t="s">
        <v>74</v>
      </c>
      <c r="AY691" t="s">
        <v>74</v>
      </c>
      <c r="AZ691" t="s">
        <v>74</v>
      </c>
      <c r="BA691" t="s">
        <v>74</v>
      </c>
      <c r="BB691">
        <v>296</v>
      </c>
      <c r="BC691">
        <v>312</v>
      </c>
      <c r="BD691" t="s">
        <v>74</v>
      </c>
      <c r="BE691" t="s">
        <v>74</v>
      </c>
      <c r="BF691" t="s">
        <v>74</v>
      </c>
      <c r="BG691" t="s">
        <v>9963</v>
      </c>
      <c r="BH691" t="s">
        <v>74</v>
      </c>
      <c r="BI691">
        <v>17</v>
      </c>
      <c r="BJ691" t="s">
        <v>1857</v>
      </c>
      <c r="BK691" t="s">
        <v>9004</v>
      </c>
      <c r="BL691" t="s">
        <v>1857</v>
      </c>
      <c r="BM691" t="s">
        <v>9964</v>
      </c>
      <c r="BN691" t="s">
        <v>74</v>
      </c>
      <c r="BO691" t="s">
        <v>74</v>
      </c>
      <c r="BP691" t="s">
        <v>74</v>
      </c>
      <c r="BQ691" t="s">
        <v>74</v>
      </c>
      <c r="BR691" t="s">
        <v>97</v>
      </c>
      <c r="BS691" t="s">
        <v>10019</v>
      </c>
      <c r="BT691" t="str">
        <f>HYPERLINK("https%3A%2F%2Fwww.webofscience.com%2Fwos%2Fwoscc%2Ffull-record%2FWOS:000297803900019","View Full Record in Web of Science")</f>
        <v>View Full Record in Web of Science</v>
      </c>
    </row>
    <row r="692" spans="1:72" x14ac:dyDescent="0.15">
      <c r="A692" t="s">
        <v>5114</v>
      </c>
      <c r="B692" t="s">
        <v>9952</v>
      </c>
      <c r="C692" t="s">
        <v>9952</v>
      </c>
      <c r="D692" t="s">
        <v>74</v>
      </c>
      <c r="E692" t="s">
        <v>74</v>
      </c>
      <c r="F692" t="s">
        <v>9953</v>
      </c>
      <c r="G692" t="s">
        <v>9952</v>
      </c>
      <c r="H692" t="s">
        <v>74</v>
      </c>
      <c r="I692" t="s">
        <v>10020</v>
      </c>
      <c r="J692" t="s">
        <v>9955</v>
      </c>
      <c r="K692" t="s">
        <v>74</v>
      </c>
      <c r="L692" t="s">
        <v>74</v>
      </c>
      <c r="M692" t="s">
        <v>77</v>
      </c>
      <c r="N692" t="s">
        <v>8991</v>
      </c>
      <c r="O692" t="s">
        <v>74</v>
      </c>
      <c r="P692" t="s">
        <v>74</v>
      </c>
      <c r="Q692" t="s">
        <v>74</v>
      </c>
      <c r="R692" t="s">
        <v>74</v>
      </c>
      <c r="S692" t="s">
        <v>74</v>
      </c>
      <c r="T692" t="s">
        <v>74</v>
      </c>
      <c r="U692" t="s">
        <v>74</v>
      </c>
      <c r="V692" t="s">
        <v>10021</v>
      </c>
      <c r="W692" t="s">
        <v>9957</v>
      </c>
      <c r="X692" t="s">
        <v>9958</v>
      </c>
      <c r="Y692" t="s">
        <v>9959</v>
      </c>
      <c r="Z692" t="s">
        <v>74</v>
      </c>
      <c r="AA692" t="s">
        <v>74</v>
      </c>
      <c r="AB692" t="s">
        <v>74</v>
      </c>
      <c r="AC692" t="s">
        <v>74</v>
      </c>
      <c r="AD692" t="s">
        <v>74</v>
      </c>
      <c r="AE692" t="s">
        <v>74</v>
      </c>
      <c r="AF692" t="s">
        <v>74</v>
      </c>
      <c r="AG692">
        <v>0</v>
      </c>
      <c r="AH692">
        <v>0</v>
      </c>
      <c r="AI692">
        <v>0</v>
      </c>
      <c r="AJ692">
        <v>0</v>
      </c>
      <c r="AK692">
        <v>1</v>
      </c>
      <c r="AL692" t="s">
        <v>9960</v>
      </c>
      <c r="AM692" t="s">
        <v>256</v>
      </c>
      <c r="AN692" t="s">
        <v>9961</v>
      </c>
      <c r="AO692" t="s">
        <v>74</v>
      </c>
      <c r="AP692" t="s">
        <v>74</v>
      </c>
      <c r="AQ692" t="s">
        <v>9962</v>
      </c>
      <c r="AR692" t="s">
        <v>74</v>
      </c>
      <c r="AS692" t="s">
        <v>74</v>
      </c>
      <c r="AT692" t="s">
        <v>74</v>
      </c>
      <c r="AU692">
        <v>2005</v>
      </c>
      <c r="AV692" t="s">
        <v>74</v>
      </c>
      <c r="AW692" t="s">
        <v>74</v>
      </c>
      <c r="AX692" t="s">
        <v>74</v>
      </c>
      <c r="AY692" t="s">
        <v>74</v>
      </c>
      <c r="AZ692" t="s">
        <v>74</v>
      </c>
      <c r="BA692" t="s">
        <v>74</v>
      </c>
      <c r="BB692">
        <v>313</v>
      </c>
      <c r="BC692">
        <v>334</v>
      </c>
      <c r="BD692" t="s">
        <v>74</v>
      </c>
      <c r="BE692" t="s">
        <v>74</v>
      </c>
      <c r="BF692" t="s">
        <v>74</v>
      </c>
      <c r="BG692" t="s">
        <v>9963</v>
      </c>
      <c r="BH692" t="s">
        <v>74</v>
      </c>
      <c r="BI692">
        <v>22</v>
      </c>
      <c r="BJ692" t="s">
        <v>1857</v>
      </c>
      <c r="BK692" t="s">
        <v>9004</v>
      </c>
      <c r="BL692" t="s">
        <v>1857</v>
      </c>
      <c r="BM692" t="s">
        <v>9964</v>
      </c>
      <c r="BN692" t="s">
        <v>74</v>
      </c>
      <c r="BO692" t="s">
        <v>74</v>
      </c>
      <c r="BP692" t="s">
        <v>74</v>
      </c>
      <c r="BQ692" t="s">
        <v>74</v>
      </c>
      <c r="BR692" t="s">
        <v>97</v>
      </c>
      <c r="BS692" t="s">
        <v>10022</v>
      </c>
      <c r="BT692" t="str">
        <f>HYPERLINK("https%3A%2F%2Fwww.webofscience.com%2Fwos%2Fwoscc%2Ffull-record%2FWOS:000297803900020","View Full Record in Web of Science")</f>
        <v>View Full Record in Web of Science</v>
      </c>
    </row>
    <row r="693" spans="1:72" x14ac:dyDescent="0.15">
      <c r="A693" t="s">
        <v>5114</v>
      </c>
      <c r="B693" t="s">
        <v>9952</v>
      </c>
      <c r="C693" t="s">
        <v>9952</v>
      </c>
      <c r="D693" t="s">
        <v>74</v>
      </c>
      <c r="E693" t="s">
        <v>74</v>
      </c>
      <c r="F693" t="s">
        <v>9953</v>
      </c>
      <c r="G693" t="s">
        <v>9952</v>
      </c>
      <c r="H693" t="s">
        <v>74</v>
      </c>
      <c r="I693" t="s">
        <v>10023</v>
      </c>
      <c r="J693" t="s">
        <v>9955</v>
      </c>
      <c r="K693" t="s">
        <v>74</v>
      </c>
      <c r="L693" t="s">
        <v>74</v>
      </c>
      <c r="M693" t="s">
        <v>77</v>
      </c>
      <c r="N693" t="s">
        <v>9956</v>
      </c>
      <c r="O693" t="s">
        <v>74</v>
      </c>
      <c r="P693" t="s">
        <v>74</v>
      </c>
      <c r="Q693" t="s">
        <v>74</v>
      </c>
      <c r="R693" t="s">
        <v>74</v>
      </c>
      <c r="S693" t="s">
        <v>74</v>
      </c>
      <c r="T693" t="s">
        <v>74</v>
      </c>
      <c r="U693" t="s">
        <v>74</v>
      </c>
      <c r="V693" t="s">
        <v>74</v>
      </c>
      <c r="W693" t="s">
        <v>9957</v>
      </c>
      <c r="X693" t="s">
        <v>9958</v>
      </c>
      <c r="Y693" t="s">
        <v>9959</v>
      </c>
      <c r="Z693" t="s">
        <v>74</v>
      </c>
      <c r="AA693" t="s">
        <v>74</v>
      </c>
      <c r="AB693" t="s">
        <v>74</v>
      </c>
      <c r="AC693" t="s">
        <v>74</v>
      </c>
      <c r="AD693" t="s">
        <v>74</v>
      </c>
      <c r="AE693" t="s">
        <v>74</v>
      </c>
      <c r="AF693" t="s">
        <v>74</v>
      </c>
      <c r="AG693">
        <v>0</v>
      </c>
      <c r="AH693">
        <v>0</v>
      </c>
      <c r="AI693">
        <v>0</v>
      </c>
      <c r="AJ693">
        <v>0</v>
      </c>
      <c r="AK693">
        <v>0</v>
      </c>
      <c r="AL693" t="s">
        <v>9960</v>
      </c>
      <c r="AM693" t="s">
        <v>256</v>
      </c>
      <c r="AN693" t="s">
        <v>9961</v>
      </c>
      <c r="AO693" t="s">
        <v>74</v>
      </c>
      <c r="AP693" t="s">
        <v>74</v>
      </c>
      <c r="AQ693" t="s">
        <v>9962</v>
      </c>
      <c r="AR693" t="s">
        <v>74</v>
      </c>
      <c r="AS693" t="s">
        <v>74</v>
      </c>
      <c r="AT693" t="s">
        <v>74</v>
      </c>
      <c r="AU693">
        <v>2005</v>
      </c>
      <c r="AV693" t="s">
        <v>74</v>
      </c>
      <c r="AW693" t="s">
        <v>74</v>
      </c>
      <c r="AX693" t="s">
        <v>74</v>
      </c>
      <c r="AY693" t="s">
        <v>74</v>
      </c>
      <c r="AZ693" t="s">
        <v>74</v>
      </c>
      <c r="BA693" t="s">
        <v>74</v>
      </c>
      <c r="BB693">
        <v>335</v>
      </c>
      <c r="BC693">
        <v>342</v>
      </c>
      <c r="BD693" t="s">
        <v>74</v>
      </c>
      <c r="BE693" t="s">
        <v>74</v>
      </c>
      <c r="BF693" t="s">
        <v>74</v>
      </c>
      <c r="BG693" t="s">
        <v>9963</v>
      </c>
      <c r="BH693" t="s">
        <v>74</v>
      </c>
      <c r="BI693">
        <v>8</v>
      </c>
      <c r="BJ693" t="s">
        <v>1857</v>
      </c>
      <c r="BK693" t="s">
        <v>9004</v>
      </c>
      <c r="BL693" t="s">
        <v>1857</v>
      </c>
      <c r="BM693" t="s">
        <v>9964</v>
      </c>
      <c r="BN693" t="s">
        <v>74</v>
      </c>
      <c r="BO693" t="s">
        <v>74</v>
      </c>
      <c r="BP693" t="s">
        <v>74</v>
      </c>
      <c r="BQ693" t="s">
        <v>74</v>
      </c>
      <c r="BR693" t="s">
        <v>97</v>
      </c>
      <c r="BS693" t="s">
        <v>10024</v>
      </c>
      <c r="BT693" t="str">
        <f>HYPERLINK("https%3A%2F%2Fwww.webofscience.com%2Fwos%2Fwoscc%2Ffull-record%2FWOS:000297803900021","View Full Record in Web of Science")</f>
        <v>View Full Record in Web of Science</v>
      </c>
    </row>
    <row r="694" spans="1:72" x14ac:dyDescent="0.15">
      <c r="A694" t="s">
        <v>8867</v>
      </c>
      <c r="B694" t="s">
        <v>10025</v>
      </c>
      <c r="C694" t="s">
        <v>74</v>
      </c>
      <c r="D694" t="s">
        <v>10026</v>
      </c>
      <c r="E694" t="s">
        <v>74</v>
      </c>
      <c r="F694" t="s">
        <v>10025</v>
      </c>
      <c r="G694" t="s">
        <v>74</v>
      </c>
      <c r="H694" t="s">
        <v>74</v>
      </c>
      <c r="I694" t="s">
        <v>10027</v>
      </c>
      <c r="J694" t="s">
        <v>10028</v>
      </c>
      <c r="K694" t="s">
        <v>10029</v>
      </c>
      <c r="L694" t="s">
        <v>74</v>
      </c>
      <c r="M694" t="s">
        <v>77</v>
      </c>
      <c r="N694" t="s">
        <v>8873</v>
      </c>
      <c r="O694" t="s">
        <v>10030</v>
      </c>
      <c r="P694" t="s">
        <v>10031</v>
      </c>
      <c r="Q694" t="s">
        <v>10032</v>
      </c>
      <c r="R694" t="s">
        <v>74</v>
      </c>
      <c r="S694" t="s">
        <v>10033</v>
      </c>
      <c r="T694" t="s">
        <v>74</v>
      </c>
      <c r="U694" t="s">
        <v>10034</v>
      </c>
      <c r="V694" t="s">
        <v>74</v>
      </c>
      <c r="W694" t="s">
        <v>10035</v>
      </c>
      <c r="X694" t="s">
        <v>10036</v>
      </c>
      <c r="Y694" t="s">
        <v>10037</v>
      </c>
      <c r="Z694" t="s">
        <v>74</v>
      </c>
      <c r="AA694" t="s">
        <v>74</v>
      </c>
      <c r="AB694" t="s">
        <v>74</v>
      </c>
      <c r="AC694" t="s">
        <v>74</v>
      </c>
      <c r="AD694" t="s">
        <v>74</v>
      </c>
      <c r="AE694" t="s">
        <v>74</v>
      </c>
      <c r="AF694" t="s">
        <v>74</v>
      </c>
      <c r="AG694">
        <v>37</v>
      </c>
      <c r="AH694">
        <v>2</v>
      </c>
      <c r="AI694">
        <v>2</v>
      </c>
      <c r="AJ694">
        <v>0</v>
      </c>
      <c r="AK694">
        <v>4</v>
      </c>
      <c r="AL694" t="s">
        <v>133</v>
      </c>
      <c r="AM694" t="s">
        <v>134</v>
      </c>
      <c r="AN694" t="s">
        <v>10038</v>
      </c>
      <c r="AO694" t="s">
        <v>74</v>
      </c>
      <c r="AP694" t="s">
        <v>74</v>
      </c>
      <c r="AQ694" t="s">
        <v>10039</v>
      </c>
      <c r="AR694" t="s">
        <v>10040</v>
      </c>
      <c r="AS694" t="s">
        <v>74</v>
      </c>
      <c r="AT694" t="s">
        <v>74</v>
      </c>
      <c r="AU694">
        <v>2005</v>
      </c>
      <c r="AV694">
        <v>10</v>
      </c>
      <c r="AW694" t="s">
        <v>74</v>
      </c>
      <c r="AX694" t="s">
        <v>74</v>
      </c>
      <c r="AY694" t="s">
        <v>74</v>
      </c>
      <c r="AZ694" t="s">
        <v>74</v>
      </c>
      <c r="BA694" t="s">
        <v>74</v>
      </c>
      <c r="BB694">
        <v>403</v>
      </c>
      <c r="BC694">
        <v>408</v>
      </c>
      <c r="BD694" t="s">
        <v>74</v>
      </c>
      <c r="BE694" t="s">
        <v>10041</v>
      </c>
      <c r="BF694" t="str">
        <f>HYPERLINK("http://dx.doi.org/10.1007/0-387-25160-X_47","http://dx.doi.org/10.1007/0-387-25160-X_47")</f>
        <v>http://dx.doi.org/10.1007/0-387-25160-X_47</v>
      </c>
      <c r="BG694" t="s">
        <v>74</v>
      </c>
      <c r="BH694" t="s">
        <v>74</v>
      </c>
      <c r="BI694">
        <v>6</v>
      </c>
      <c r="BJ694" t="s">
        <v>1820</v>
      </c>
      <c r="BK694" t="s">
        <v>8890</v>
      </c>
      <c r="BL694" t="s">
        <v>1821</v>
      </c>
      <c r="BM694" t="s">
        <v>10042</v>
      </c>
      <c r="BN694" t="s">
        <v>74</v>
      </c>
      <c r="BO694" t="s">
        <v>74</v>
      </c>
      <c r="BP694" t="s">
        <v>74</v>
      </c>
      <c r="BQ694" t="s">
        <v>74</v>
      </c>
      <c r="BR694" t="s">
        <v>97</v>
      </c>
      <c r="BS694" t="s">
        <v>10043</v>
      </c>
      <c r="BT694" t="str">
        <f>HYPERLINK("https%3A%2F%2Fwww.webofscience.com%2Fwos%2Fwoscc%2Ffull-record%2FWOS:000230669800047","View Full Record in Web of Science")</f>
        <v>View Full Record in Web of Science</v>
      </c>
    </row>
    <row r="695" spans="1:72" x14ac:dyDescent="0.15">
      <c r="A695" t="s">
        <v>72</v>
      </c>
      <c r="B695" t="s">
        <v>10044</v>
      </c>
      <c r="C695" t="s">
        <v>74</v>
      </c>
      <c r="D695" t="s">
        <v>74</v>
      </c>
      <c r="E695" t="s">
        <v>74</v>
      </c>
      <c r="F695" t="s">
        <v>10044</v>
      </c>
      <c r="G695" t="s">
        <v>74</v>
      </c>
      <c r="H695" t="s">
        <v>74</v>
      </c>
      <c r="I695" t="s">
        <v>10045</v>
      </c>
      <c r="J695" t="s">
        <v>10046</v>
      </c>
      <c r="K695" t="s">
        <v>74</v>
      </c>
      <c r="L695" t="s">
        <v>74</v>
      </c>
      <c r="M695" t="s">
        <v>2835</v>
      </c>
      <c r="N695" t="s">
        <v>78</v>
      </c>
      <c r="O695" t="s">
        <v>74</v>
      </c>
      <c r="P695" t="s">
        <v>74</v>
      </c>
      <c r="Q695" t="s">
        <v>74</v>
      </c>
      <c r="R695" t="s">
        <v>74</v>
      </c>
      <c r="S695" t="s">
        <v>74</v>
      </c>
      <c r="T695" t="s">
        <v>10047</v>
      </c>
      <c r="U695" t="s">
        <v>10048</v>
      </c>
      <c r="V695" t="s">
        <v>10049</v>
      </c>
      <c r="W695" t="s">
        <v>10050</v>
      </c>
      <c r="X695" t="s">
        <v>10051</v>
      </c>
      <c r="Y695" t="s">
        <v>10052</v>
      </c>
      <c r="Z695" t="s">
        <v>10053</v>
      </c>
      <c r="AA695" t="s">
        <v>74</v>
      </c>
      <c r="AB695" t="s">
        <v>74</v>
      </c>
      <c r="AC695" t="s">
        <v>74</v>
      </c>
      <c r="AD695" t="s">
        <v>74</v>
      </c>
      <c r="AE695" t="s">
        <v>74</v>
      </c>
      <c r="AF695" t="s">
        <v>74</v>
      </c>
      <c r="AG695">
        <v>16</v>
      </c>
      <c r="AH695">
        <v>6</v>
      </c>
      <c r="AI695">
        <v>8</v>
      </c>
      <c r="AJ695">
        <v>2</v>
      </c>
      <c r="AK695">
        <v>6</v>
      </c>
      <c r="AL695" t="s">
        <v>10054</v>
      </c>
      <c r="AM695" t="s">
        <v>2842</v>
      </c>
      <c r="AN695" t="s">
        <v>2843</v>
      </c>
      <c r="AO695" t="s">
        <v>10055</v>
      </c>
      <c r="AP695" t="s">
        <v>74</v>
      </c>
      <c r="AQ695" t="s">
        <v>74</v>
      </c>
      <c r="AR695" t="s">
        <v>10056</v>
      </c>
      <c r="AS695" t="s">
        <v>10057</v>
      </c>
      <c r="AT695" t="s">
        <v>9676</v>
      </c>
      <c r="AU695">
        <v>2005</v>
      </c>
      <c r="AV695">
        <v>48</v>
      </c>
      <c r="AW695">
        <v>1</v>
      </c>
      <c r="AX695" t="s">
        <v>74</v>
      </c>
      <c r="AY695" t="s">
        <v>74</v>
      </c>
      <c r="AZ695" t="s">
        <v>74</v>
      </c>
      <c r="BA695" t="s">
        <v>74</v>
      </c>
      <c r="BB695">
        <v>1</v>
      </c>
      <c r="BC695">
        <v>6</v>
      </c>
      <c r="BD695" t="s">
        <v>74</v>
      </c>
      <c r="BE695" t="s">
        <v>74</v>
      </c>
      <c r="BF695" t="s">
        <v>74</v>
      </c>
      <c r="BG695" t="s">
        <v>74</v>
      </c>
      <c r="BH695" t="s">
        <v>74</v>
      </c>
      <c r="BI695">
        <v>6</v>
      </c>
      <c r="BJ695" t="s">
        <v>381</v>
      </c>
      <c r="BK695" t="s">
        <v>95</v>
      </c>
      <c r="BL695" t="s">
        <v>381</v>
      </c>
      <c r="BM695" t="s">
        <v>10058</v>
      </c>
      <c r="BN695" t="s">
        <v>74</v>
      </c>
      <c r="BO695" t="s">
        <v>74</v>
      </c>
      <c r="BP695" t="s">
        <v>74</v>
      </c>
      <c r="BQ695" t="s">
        <v>74</v>
      </c>
      <c r="BR695" t="s">
        <v>97</v>
      </c>
      <c r="BS695" t="s">
        <v>10059</v>
      </c>
      <c r="BT695" t="str">
        <f>HYPERLINK("https%3A%2F%2Fwww.webofscience.com%2Fwos%2Fwoscc%2Ffull-record%2FWOS:000226574900001","View Full Record in Web of Science")</f>
        <v>View Full Record in Web of Science</v>
      </c>
    </row>
    <row r="696" spans="1:72" x14ac:dyDescent="0.15">
      <c r="A696" t="s">
        <v>72</v>
      </c>
      <c r="B696" t="s">
        <v>10060</v>
      </c>
      <c r="C696" t="s">
        <v>74</v>
      </c>
      <c r="D696" t="s">
        <v>74</v>
      </c>
      <c r="E696" t="s">
        <v>74</v>
      </c>
      <c r="F696" t="s">
        <v>10060</v>
      </c>
      <c r="G696" t="s">
        <v>74</v>
      </c>
      <c r="H696" t="s">
        <v>74</v>
      </c>
      <c r="I696" t="s">
        <v>10061</v>
      </c>
      <c r="J696" t="s">
        <v>5966</v>
      </c>
      <c r="K696" t="s">
        <v>74</v>
      </c>
      <c r="L696" t="s">
        <v>74</v>
      </c>
      <c r="M696" t="s">
        <v>77</v>
      </c>
      <c r="N696" t="s">
        <v>78</v>
      </c>
      <c r="O696" t="s">
        <v>74</v>
      </c>
      <c r="P696" t="s">
        <v>74</v>
      </c>
      <c r="Q696" t="s">
        <v>74</v>
      </c>
      <c r="R696" t="s">
        <v>74</v>
      </c>
      <c r="S696" t="s">
        <v>74</v>
      </c>
      <c r="T696" t="s">
        <v>10062</v>
      </c>
      <c r="U696" t="s">
        <v>10063</v>
      </c>
      <c r="V696" t="s">
        <v>10064</v>
      </c>
      <c r="W696" t="s">
        <v>10065</v>
      </c>
      <c r="X696" t="s">
        <v>10066</v>
      </c>
      <c r="Y696" t="s">
        <v>10067</v>
      </c>
      <c r="Z696" t="s">
        <v>10068</v>
      </c>
      <c r="AA696" t="s">
        <v>10069</v>
      </c>
      <c r="AB696" t="s">
        <v>10070</v>
      </c>
      <c r="AC696" t="s">
        <v>74</v>
      </c>
      <c r="AD696" t="s">
        <v>74</v>
      </c>
      <c r="AE696" t="s">
        <v>74</v>
      </c>
      <c r="AF696" t="s">
        <v>74</v>
      </c>
      <c r="AG696">
        <v>22</v>
      </c>
      <c r="AH696">
        <v>14</v>
      </c>
      <c r="AI696">
        <v>15</v>
      </c>
      <c r="AJ696">
        <v>0</v>
      </c>
      <c r="AK696">
        <v>6</v>
      </c>
      <c r="AL696" t="s">
        <v>456</v>
      </c>
      <c r="AM696" t="s">
        <v>436</v>
      </c>
      <c r="AN696" t="s">
        <v>457</v>
      </c>
      <c r="AO696" t="s">
        <v>5975</v>
      </c>
      <c r="AP696" t="s">
        <v>5976</v>
      </c>
      <c r="AQ696" t="s">
        <v>74</v>
      </c>
      <c r="AR696" t="s">
        <v>5977</v>
      </c>
      <c r="AS696" t="s">
        <v>5978</v>
      </c>
      <c r="AT696" t="s">
        <v>9676</v>
      </c>
      <c r="AU696">
        <v>2005</v>
      </c>
      <c r="AV696">
        <v>41</v>
      </c>
      <c r="AW696">
        <v>1</v>
      </c>
      <c r="AX696" t="s">
        <v>74</v>
      </c>
      <c r="AY696" t="s">
        <v>74</v>
      </c>
      <c r="AZ696" t="s">
        <v>74</v>
      </c>
      <c r="BA696" t="s">
        <v>74</v>
      </c>
      <c r="BB696">
        <v>61</v>
      </c>
      <c r="BC696">
        <v>72</v>
      </c>
      <c r="BD696" t="s">
        <v>74</v>
      </c>
      <c r="BE696" t="s">
        <v>10071</v>
      </c>
      <c r="BF696" t="str">
        <f>HYPERLINK("http://dx.doi.org/10.1016/j.coldregions.2004.10.003","http://dx.doi.org/10.1016/j.coldregions.2004.10.003")</f>
        <v>http://dx.doi.org/10.1016/j.coldregions.2004.10.003</v>
      </c>
      <c r="BG696" t="s">
        <v>74</v>
      </c>
      <c r="BH696" t="s">
        <v>74</v>
      </c>
      <c r="BI696">
        <v>12</v>
      </c>
      <c r="BJ696" t="s">
        <v>5980</v>
      </c>
      <c r="BK696" t="s">
        <v>95</v>
      </c>
      <c r="BL696" t="s">
        <v>5981</v>
      </c>
      <c r="BM696" t="s">
        <v>10072</v>
      </c>
      <c r="BN696" t="s">
        <v>74</v>
      </c>
      <c r="BO696" t="s">
        <v>74</v>
      </c>
      <c r="BP696" t="s">
        <v>74</v>
      </c>
      <c r="BQ696" t="s">
        <v>74</v>
      </c>
      <c r="BR696" t="s">
        <v>97</v>
      </c>
      <c r="BS696" t="s">
        <v>10073</v>
      </c>
      <c r="BT696" t="str">
        <f>HYPERLINK("https%3A%2F%2Fwww.webofscience.com%2Fwos%2Fwoscc%2Ffull-record%2FWOS:000226504500004","View Full Record in Web of Science")</f>
        <v>View Full Record in Web of Science</v>
      </c>
    </row>
    <row r="697" spans="1:72" x14ac:dyDescent="0.15">
      <c r="A697" t="s">
        <v>8867</v>
      </c>
      <c r="B697" t="s">
        <v>10074</v>
      </c>
      <c r="C697" t="s">
        <v>74</v>
      </c>
      <c r="D697" t="s">
        <v>10075</v>
      </c>
      <c r="E697" t="s">
        <v>74</v>
      </c>
      <c r="F697" t="s">
        <v>10074</v>
      </c>
      <c r="G697" t="s">
        <v>74</v>
      </c>
      <c r="H697" t="s">
        <v>74</v>
      </c>
      <c r="I697" t="s">
        <v>10076</v>
      </c>
      <c r="J697" t="s">
        <v>10077</v>
      </c>
      <c r="K697" t="s">
        <v>10078</v>
      </c>
      <c r="L697" t="s">
        <v>74</v>
      </c>
      <c r="M697" t="s">
        <v>77</v>
      </c>
      <c r="N697" t="s">
        <v>8873</v>
      </c>
      <c r="O697" t="s">
        <v>10079</v>
      </c>
      <c r="P697" t="s">
        <v>10080</v>
      </c>
      <c r="Q697" t="s">
        <v>10081</v>
      </c>
      <c r="R697" t="s">
        <v>74</v>
      </c>
      <c r="S697" t="s">
        <v>74</v>
      </c>
      <c r="T697" t="s">
        <v>74</v>
      </c>
      <c r="U697" t="s">
        <v>74</v>
      </c>
      <c r="V697" t="s">
        <v>10082</v>
      </c>
      <c r="W697" t="s">
        <v>10083</v>
      </c>
      <c r="X697" t="s">
        <v>3844</v>
      </c>
      <c r="Y697" t="s">
        <v>10084</v>
      </c>
      <c r="Z697" t="s">
        <v>74</v>
      </c>
      <c r="AA697" t="s">
        <v>10085</v>
      </c>
      <c r="AB697" t="s">
        <v>10086</v>
      </c>
      <c r="AC697" t="s">
        <v>74</v>
      </c>
      <c r="AD697" t="s">
        <v>74</v>
      </c>
      <c r="AE697" t="s">
        <v>74</v>
      </c>
      <c r="AF697" t="s">
        <v>74</v>
      </c>
      <c r="AG697">
        <v>5</v>
      </c>
      <c r="AH697">
        <v>0</v>
      </c>
      <c r="AI697">
        <v>0</v>
      </c>
      <c r="AJ697">
        <v>0</v>
      </c>
      <c r="AK697">
        <v>0</v>
      </c>
      <c r="AL697" t="s">
        <v>10087</v>
      </c>
      <c r="AM697" t="s">
        <v>10088</v>
      </c>
      <c r="AN697" t="s">
        <v>10089</v>
      </c>
      <c r="AO697" t="s">
        <v>10090</v>
      </c>
      <c r="AP697" t="s">
        <v>74</v>
      </c>
      <c r="AQ697" t="s">
        <v>74</v>
      </c>
      <c r="AR697" t="s">
        <v>10091</v>
      </c>
      <c r="AS697" t="s">
        <v>74</v>
      </c>
      <c r="AT697" t="s">
        <v>74</v>
      </c>
      <c r="AU697">
        <v>2005</v>
      </c>
      <c r="AV697">
        <v>7187</v>
      </c>
      <c r="AW697" t="s">
        <v>74</v>
      </c>
      <c r="AX697" t="s">
        <v>74</v>
      </c>
      <c r="AY697" t="s">
        <v>74</v>
      </c>
      <c r="AZ697" t="s">
        <v>74</v>
      </c>
      <c r="BA697" t="s">
        <v>74</v>
      </c>
      <c r="BB697">
        <v>205</v>
      </c>
      <c r="BC697">
        <v>208</v>
      </c>
      <c r="BD697" t="s">
        <v>74</v>
      </c>
      <c r="BE697" t="s">
        <v>74</v>
      </c>
      <c r="BF697" t="s">
        <v>74</v>
      </c>
      <c r="BG697" t="s">
        <v>74</v>
      </c>
      <c r="BH697" t="s">
        <v>74</v>
      </c>
      <c r="BI697">
        <v>4</v>
      </c>
      <c r="BJ697" t="s">
        <v>853</v>
      </c>
      <c r="BK697" t="s">
        <v>8890</v>
      </c>
      <c r="BL697" t="s">
        <v>853</v>
      </c>
      <c r="BM697" t="s">
        <v>10092</v>
      </c>
      <c r="BN697" t="s">
        <v>74</v>
      </c>
      <c r="BO697" t="s">
        <v>74</v>
      </c>
      <c r="BP697" t="s">
        <v>74</v>
      </c>
      <c r="BQ697" t="s">
        <v>74</v>
      </c>
      <c r="BR697" t="s">
        <v>97</v>
      </c>
      <c r="BS697" t="s">
        <v>10093</v>
      </c>
      <c r="BT697" t="str">
        <f>HYPERLINK("https%3A%2F%2Fwww.webofscience.com%2Fwos%2Fwoscc%2Ffull-record%2FWOS:000236912600049","View Full Record in Web of Science")</f>
        <v>View Full Record in Web of Science</v>
      </c>
    </row>
    <row r="698" spans="1:72" x14ac:dyDescent="0.15">
      <c r="A698" t="s">
        <v>72</v>
      </c>
      <c r="B698" t="s">
        <v>10094</v>
      </c>
      <c r="C698" t="s">
        <v>74</v>
      </c>
      <c r="D698" t="s">
        <v>74</v>
      </c>
      <c r="E698" t="s">
        <v>74</v>
      </c>
      <c r="F698" t="s">
        <v>10094</v>
      </c>
      <c r="G698" t="s">
        <v>74</v>
      </c>
      <c r="H698" t="s">
        <v>74</v>
      </c>
      <c r="I698" t="s">
        <v>10095</v>
      </c>
      <c r="J698" t="s">
        <v>10096</v>
      </c>
      <c r="K698" t="s">
        <v>74</v>
      </c>
      <c r="L698" t="s">
        <v>74</v>
      </c>
      <c r="M698" t="s">
        <v>77</v>
      </c>
      <c r="N698" t="s">
        <v>365</v>
      </c>
      <c r="O698" t="s">
        <v>74</v>
      </c>
      <c r="P698" t="s">
        <v>74</v>
      </c>
      <c r="Q698" t="s">
        <v>74</v>
      </c>
      <c r="R698" t="s">
        <v>74</v>
      </c>
      <c r="S698" t="s">
        <v>74</v>
      </c>
      <c r="T698" t="s">
        <v>10097</v>
      </c>
      <c r="U698" t="s">
        <v>10098</v>
      </c>
      <c r="V698" t="s">
        <v>10099</v>
      </c>
      <c r="W698" t="s">
        <v>10100</v>
      </c>
      <c r="X698" t="s">
        <v>10101</v>
      </c>
      <c r="Y698" t="s">
        <v>10102</v>
      </c>
      <c r="Z698" t="s">
        <v>10103</v>
      </c>
      <c r="AA698" t="s">
        <v>74</v>
      </c>
      <c r="AB698" t="s">
        <v>74</v>
      </c>
      <c r="AC698" t="s">
        <v>74</v>
      </c>
      <c r="AD698" t="s">
        <v>74</v>
      </c>
      <c r="AE698" t="s">
        <v>74</v>
      </c>
      <c r="AF698" t="s">
        <v>74</v>
      </c>
      <c r="AG698">
        <v>127</v>
      </c>
      <c r="AH698">
        <v>130</v>
      </c>
      <c r="AI698">
        <v>147</v>
      </c>
      <c r="AJ698">
        <v>4</v>
      </c>
      <c r="AK698">
        <v>108</v>
      </c>
      <c r="AL698" t="s">
        <v>394</v>
      </c>
      <c r="AM698" t="s">
        <v>395</v>
      </c>
      <c r="AN698" t="s">
        <v>396</v>
      </c>
      <c r="AO698" t="s">
        <v>10104</v>
      </c>
      <c r="AP698" t="s">
        <v>10105</v>
      </c>
      <c r="AQ698" t="s">
        <v>74</v>
      </c>
      <c r="AR698" t="s">
        <v>10106</v>
      </c>
      <c r="AS698" t="s">
        <v>10107</v>
      </c>
      <c r="AT698" t="s">
        <v>74</v>
      </c>
      <c r="AU698">
        <v>2005</v>
      </c>
      <c r="AV698">
        <v>31</v>
      </c>
      <c r="AW698">
        <v>2</v>
      </c>
      <c r="AX698" t="s">
        <v>74</v>
      </c>
      <c r="AY698" t="s">
        <v>74</v>
      </c>
      <c r="AZ698" t="s">
        <v>74</v>
      </c>
      <c r="BA698" t="s">
        <v>74</v>
      </c>
      <c r="BB698">
        <v>79</v>
      </c>
      <c r="BC698">
        <v>89</v>
      </c>
      <c r="BD698" t="s">
        <v>74</v>
      </c>
      <c r="BE698" t="s">
        <v>10108</v>
      </c>
      <c r="BF698" t="str">
        <f>HYPERLINK("http://dx.doi.org/10.1080/10408410590921727","http://dx.doi.org/10.1080/10408410590921727")</f>
        <v>http://dx.doi.org/10.1080/10408410590921727</v>
      </c>
      <c r="BG698" t="s">
        <v>74</v>
      </c>
      <c r="BH698" t="s">
        <v>74</v>
      </c>
      <c r="BI698">
        <v>11</v>
      </c>
      <c r="BJ698" t="s">
        <v>1507</v>
      </c>
      <c r="BK698" t="s">
        <v>95</v>
      </c>
      <c r="BL698" t="s">
        <v>1507</v>
      </c>
      <c r="BM698" t="s">
        <v>10109</v>
      </c>
      <c r="BN698">
        <v>15986833</v>
      </c>
      <c r="BO698" t="s">
        <v>74</v>
      </c>
      <c r="BP698" t="s">
        <v>74</v>
      </c>
      <c r="BQ698" t="s">
        <v>74</v>
      </c>
      <c r="BR698" t="s">
        <v>97</v>
      </c>
      <c r="BS698" t="s">
        <v>10110</v>
      </c>
      <c r="BT698" t="str">
        <f>HYPERLINK("https%3A%2F%2Fwww.webofscience.com%2Fwos%2Fwoscc%2Ffull-record%2FWOS:000229612900003","View Full Record in Web of Science")</f>
        <v>View Full Record in Web of Science</v>
      </c>
    </row>
    <row r="699" spans="1:72" x14ac:dyDescent="0.15">
      <c r="A699" t="s">
        <v>72</v>
      </c>
      <c r="B699" t="s">
        <v>10111</v>
      </c>
      <c r="C699" t="s">
        <v>74</v>
      </c>
      <c r="D699" t="s">
        <v>74</v>
      </c>
      <c r="E699" t="s">
        <v>74</v>
      </c>
      <c r="F699" t="s">
        <v>10111</v>
      </c>
      <c r="G699" t="s">
        <v>74</v>
      </c>
      <c r="H699" t="s">
        <v>74</v>
      </c>
      <c r="I699" t="s">
        <v>10112</v>
      </c>
      <c r="J699" t="s">
        <v>10113</v>
      </c>
      <c r="K699" t="s">
        <v>74</v>
      </c>
      <c r="L699" t="s">
        <v>74</v>
      </c>
      <c r="M699" t="s">
        <v>77</v>
      </c>
      <c r="N699" t="s">
        <v>78</v>
      </c>
      <c r="O699" t="s">
        <v>74</v>
      </c>
      <c r="P699" t="s">
        <v>74</v>
      </c>
      <c r="Q699" t="s">
        <v>74</v>
      </c>
      <c r="R699" t="s">
        <v>74</v>
      </c>
      <c r="S699" t="s">
        <v>74</v>
      </c>
      <c r="T699" t="s">
        <v>10114</v>
      </c>
      <c r="U699" t="s">
        <v>10115</v>
      </c>
      <c r="V699" t="s">
        <v>10116</v>
      </c>
      <c r="W699" t="s">
        <v>10117</v>
      </c>
      <c r="X699" t="s">
        <v>10118</v>
      </c>
      <c r="Y699" t="s">
        <v>10119</v>
      </c>
      <c r="Z699" t="s">
        <v>74</v>
      </c>
      <c r="AA699" t="s">
        <v>74</v>
      </c>
      <c r="AB699" t="s">
        <v>74</v>
      </c>
      <c r="AC699" t="s">
        <v>74</v>
      </c>
      <c r="AD699" t="s">
        <v>74</v>
      </c>
      <c r="AE699" t="s">
        <v>74</v>
      </c>
      <c r="AF699" t="s">
        <v>74</v>
      </c>
      <c r="AG699">
        <v>14</v>
      </c>
      <c r="AH699">
        <v>32</v>
      </c>
      <c r="AI699">
        <v>37</v>
      </c>
      <c r="AJ699">
        <v>0</v>
      </c>
      <c r="AK699">
        <v>2</v>
      </c>
      <c r="AL699" t="s">
        <v>10120</v>
      </c>
      <c r="AM699" t="s">
        <v>739</v>
      </c>
      <c r="AN699" t="s">
        <v>10121</v>
      </c>
      <c r="AO699" t="s">
        <v>10122</v>
      </c>
      <c r="AP699" t="s">
        <v>74</v>
      </c>
      <c r="AQ699" t="s">
        <v>74</v>
      </c>
      <c r="AR699" t="s">
        <v>10113</v>
      </c>
      <c r="AS699" t="s">
        <v>10123</v>
      </c>
      <c r="AT699" t="s">
        <v>10124</v>
      </c>
      <c r="AU699">
        <v>2005</v>
      </c>
      <c r="AV699">
        <v>26</v>
      </c>
      <c r="AW699">
        <v>1</v>
      </c>
      <c r="AX699" t="s">
        <v>74</v>
      </c>
      <c r="AY699" t="s">
        <v>74</v>
      </c>
      <c r="AZ699" t="s">
        <v>74</v>
      </c>
      <c r="BA699" t="s">
        <v>74</v>
      </c>
      <c r="BB699">
        <v>45</v>
      </c>
      <c r="BC699">
        <v>54</v>
      </c>
      <c r="BD699" t="s">
        <v>74</v>
      </c>
      <c r="BE699" t="s">
        <v>74</v>
      </c>
      <c r="BF699" t="s">
        <v>74</v>
      </c>
      <c r="BG699" t="s">
        <v>74</v>
      </c>
      <c r="BH699" t="s">
        <v>74</v>
      </c>
      <c r="BI699">
        <v>10</v>
      </c>
      <c r="BJ699" t="s">
        <v>7857</v>
      </c>
      <c r="BK699" t="s">
        <v>95</v>
      </c>
      <c r="BL699" t="s">
        <v>7858</v>
      </c>
      <c r="BM699" t="s">
        <v>10125</v>
      </c>
      <c r="BN699">
        <v>15772712</v>
      </c>
      <c r="BO699" t="s">
        <v>74</v>
      </c>
      <c r="BP699" t="s">
        <v>74</v>
      </c>
      <c r="BQ699" t="s">
        <v>74</v>
      </c>
      <c r="BR699" t="s">
        <v>97</v>
      </c>
      <c r="BS699" t="s">
        <v>10126</v>
      </c>
      <c r="BT699" t="str">
        <f>HYPERLINK("https%3A%2F%2Fwww.webofscience.com%2Fwos%2Fwoscc%2Ffull-record%2FWOS:000228054000006","View Full Record in Web of Science")</f>
        <v>View Full Record in Web of Science</v>
      </c>
    </row>
    <row r="700" spans="1:72" x14ac:dyDescent="0.15">
      <c r="A700" t="s">
        <v>1269</v>
      </c>
      <c r="B700" t="s">
        <v>10127</v>
      </c>
      <c r="C700" t="s">
        <v>74</v>
      </c>
      <c r="D700" t="s">
        <v>10128</v>
      </c>
      <c r="E700" t="s">
        <v>74</v>
      </c>
      <c r="F700" t="s">
        <v>10129</v>
      </c>
      <c r="G700" t="s">
        <v>74</v>
      </c>
      <c r="H700" t="s">
        <v>74</v>
      </c>
      <c r="I700" t="s">
        <v>10130</v>
      </c>
      <c r="J700" t="s">
        <v>10131</v>
      </c>
      <c r="K700" t="s">
        <v>10132</v>
      </c>
      <c r="L700" t="s">
        <v>74</v>
      </c>
      <c r="M700" t="s">
        <v>77</v>
      </c>
      <c r="N700" t="s">
        <v>8991</v>
      </c>
      <c r="O700" t="s">
        <v>74</v>
      </c>
      <c r="P700" t="s">
        <v>74</v>
      </c>
      <c r="Q700" t="s">
        <v>74</v>
      </c>
      <c r="R700" t="s">
        <v>74</v>
      </c>
      <c r="S700" t="s">
        <v>74</v>
      </c>
      <c r="T700" t="s">
        <v>74</v>
      </c>
      <c r="U700" t="s">
        <v>74</v>
      </c>
      <c r="V700" t="s">
        <v>10133</v>
      </c>
      <c r="W700" t="s">
        <v>10134</v>
      </c>
      <c r="X700" t="s">
        <v>10135</v>
      </c>
      <c r="Y700" t="s">
        <v>10136</v>
      </c>
      <c r="Z700" t="s">
        <v>74</v>
      </c>
      <c r="AA700" t="s">
        <v>10137</v>
      </c>
      <c r="AB700" t="s">
        <v>10138</v>
      </c>
      <c r="AC700" t="s">
        <v>74</v>
      </c>
      <c r="AD700" t="s">
        <v>74</v>
      </c>
      <c r="AE700" t="s">
        <v>74</v>
      </c>
      <c r="AF700" t="s">
        <v>74</v>
      </c>
      <c r="AG700">
        <v>29</v>
      </c>
      <c r="AH700">
        <v>6</v>
      </c>
      <c r="AI700">
        <v>7</v>
      </c>
      <c r="AJ700">
        <v>0</v>
      </c>
      <c r="AK700">
        <v>1</v>
      </c>
      <c r="AL700" t="s">
        <v>456</v>
      </c>
      <c r="AM700" t="s">
        <v>436</v>
      </c>
      <c r="AN700" t="s">
        <v>10139</v>
      </c>
      <c r="AO700" t="s">
        <v>10140</v>
      </c>
      <c r="AP700" t="s">
        <v>74</v>
      </c>
      <c r="AQ700" t="s">
        <v>10141</v>
      </c>
      <c r="AR700" t="s">
        <v>10142</v>
      </c>
      <c r="AS700" t="s">
        <v>74</v>
      </c>
      <c r="AT700" t="s">
        <v>74</v>
      </c>
      <c r="AU700">
        <v>2005</v>
      </c>
      <c r="AV700">
        <v>4</v>
      </c>
      <c r="AW700" t="s">
        <v>74</v>
      </c>
      <c r="AX700" t="s">
        <v>74</v>
      </c>
      <c r="AY700" t="s">
        <v>74</v>
      </c>
      <c r="AZ700" t="s">
        <v>74</v>
      </c>
      <c r="BA700" t="s">
        <v>74</v>
      </c>
      <c r="BB700">
        <v>461</v>
      </c>
      <c r="BC700">
        <v>490</v>
      </c>
      <c r="BD700" t="s">
        <v>74</v>
      </c>
      <c r="BE700" t="s">
        <v>74</v>
      </c>
      <c r="BF700" t="s">
        <v>74</v>
      </c>
      <c r="BG700" t="s">
        <v>74</v>
      </c>
      <c r="BH700" t="s">
        <v>74</v>
      </c>
      <c r="BI700">
        <v>30</v>
      </c>
      <c r="BJ700" t="s">
        <v>10143</v>
      </c>
      <c r="BK700" t="s">
        <v>10144</v>
      </c>
      <c r="BL700" t="s">
        <v>10145</v>
      </c>
      <c r="BM700" t="s">
        <v>10146</v>
      </c>
      <c r="BN700" t="s">
        <v>74</v>
      </c>
      <c r="BO700" t="s">
        <v>74</v>
      </c>
      <c r="BP700" t="s">
        <v>74</v>
      </c>
      <c r="BQ700" t="s">
        <v>74</v>
      </c>
      <c r="BR700" t="s">
        <v>97</v>
      </c>
      <c r="BS700" t="s">
        <v>10147</v>
      </c>
      <c r="BT700" t="str">
        <f>HYPERLINK("https%3A%2F%2Fwww.webofscience.com%2Fwos%2Fwoscc%2Ffull-record%2FWOS:000311097500021","View Full Record in Web of Science")</f>
        <v>View Full Record in Web of Science</v>
      </c>
    </row>
    <row r="701" spans="1:72" x14ac:dyDescent="0.15">
      <c r="A701" t="s">
        <v>1269</v>
      </c>
      <c r="B701" t="s">
        <v>10148</v>
      </c>
      <c r="C701" t="s">
        <v>74</v>
      </c>
      <c r="D701" t="s">
        <v>10128</v>
      </c>
      <c r="E701" t="s">
        <v>74</v>
      </c>
      <c r="F701" t="s">
        <v>10149</v>
      </c>
      <c r="G701" t="s">
        <v>74</v>
      </c>
      <c r="H701" t="s">
        <v>74</v>
      </c>
      <c r="I701" t="s">
        <v>10150</v>
      </c>
      <c r="J701" t="s">
        <v>10131</v>
      </c>
      <c r="K701" t="s">
        <v>10132</v>
      </c>
      <c r="L701" t="s">
        <v>74</v>
      </c>
      <c r="M701" t="s">
        <v>77</v>
      </c>
      <c r="N701" t="s">
        <v>8991</v>
      </c>
      <c r="O701" t="s">
        <v>74</v>
      </c>
      <c r="P701" t="s">
        <v>74</v>
      </c>
      <c r="Q701" t="s">
        <v>74</v>
      </c>
      <c r="R701" t="s">
        <v>74</v>
      </c>
      <c r="S701" t="s">
        <v>74</v>
      </c>
      <c r="T701" t="s">
        <v>74</v>
      </c>
      <c r="U701" t="s">
        <v>74</v>
      </c>
      <c r="V701" t="s">
        <v>10151</v>
      </c>
      <c r="W701" t="s">
        <v>10152</v>
      </c>
      <c r="X701" t="s">
        <v>10153</v>
      </c>
      <c r="Y701" t="s">
        <v>10154</v>
      </c>
      <c r="Z701" t="s">
        <v>74</v>
      </c>
      <c r="AA701" t="s">
        <v>74</v>
      </c>
      <c r="AB701" t="s">
        <v>10155</v>
      </c>
      <c r="AC701" t="s">
        <v>74</v>
      </c>
      <c r="AD701" t="s">
        <v>74</v>
      </c>
      <c r="AE701" t="s">
        <v>74</v>
      </c>
      <c r="AF701" t="s">
        <v>74</v>
      </c>
      <c r="AG701">
        <v>42</v>
      </c>
      <c r="AH701">
        <v>4</v>
      </c>
      <c r="AI701">
        <v>6</v>
      </c>
      <c r="AJ701">
        <v>0</v>
      </c>
      <c r="AK701">
        <v>0</v>
      </c>
      <c r="AL701" t="s">
        <v>456</v>
      </c>
      <c r="AM701" t="s">
        <v>436</v>
      </c>
      <c r="AN701" t="s">
        <v>10139</v>
      </c>
      <c r="AO701" t="s">
        <v>10140</v>
      </c>
      <c r="AP701" t="s">
        <v>74</v>
      </c>
      <c r="AQ701" t="s">
        <v>10141</v>
      </c>
      <c r="AR701" t="s">
        <v>10142</v>
      </c>
      <c r="AS701" t="s">
        <v>74</v>
      </c>
      <c r="AT701" t="s">
        <v>74</v>
      </c>
      <c r="AU701">
        <v>2005</v>
      </c>
      <c r="AV701">
        <v>4</v>
      </c>
      <c r="AW701" t="s">
        <v>74</v>
      </c>
      <c r="AX701" t="s">
        <v>74</v>
      </c>
      <c r="AY701" t="s">
        <v>74</v>
      </c>
      <c r="AZ701" t="s">
        <v>74</v>
      </c>
      <c r="BA701" t="s">
        <v>74</v>
      </c>
      <c r="BB701">
        <v>491</v>
      </c>
      <c r="BC701">
        <v>515</v>
      </c>
      <c r="BD701" t="s">
        <v>74</v>
      </c>
      <c r="BE701" t="s">
        <v>74</v>
      </c>
      <c r="BF701" t="s">
        <v>74</v>
      </c>
      <c r="BG701" t="s">
        <v>74</v>
      </c>
      <c r="BH701" t="s">
        <v>74</v>
      </c>
      <c r="BI701">
        <v>25</v>
      </c>
      <c r="BJ701" t="s">
        <v>10143</v>
      </c>
      <c r="BK701" t="s">
        <v>10144</v>
      </c>
      <c r="BL701" t="s">
        <v>10145</v>
      </c>
      <c r="BM701" t="s">
        <v>10146</v>
      </c>
      <c r="BN701" t="s">
        <v>74</v>
      </c>
      <c r="BO701" t="s">
        <v>74</v>
      </c>
      <c r="BP701" t="s">
        <v>74</v>
      </c>
      <c r="BQ701" t="s">
        <v>74</v>
      </c>
      <c r="BR701" t="s">
        <v>97</v>
      </c>
      <c r="BS701" t="s">
        <v>10156</v>
      </c>
      <c r="BT701" t="str">
        <f>HYPERLINK("https%3A%2F%2Fwww.webofscience.com%2Fwos%2Fwoscc%2Ffull-record%2FWOS:000311097500022","View Full Record in Web of Science")</f>
        <v>View Full Record in Web of Science</v>
      </c>
    </row>
    <row r="702" spans="1:72" x14ac:dyDescent="0.15">
      <c r="A702" t="s">
        <v>72</v>
      </c>
      <c r="B702" t="s">
        <v>10157</v>
      </c>
      <c r="C702" t="s">
        <v>74</v>
      </c>
      <c r="D702" t="s">
        <v>74</v>
      </c>
      <c r="E702" t="s">
        <v>74</v>
      </c>
      <c r="F702" t="s">
        <v>10157</v>
      </c>
      <c r="G702" t="s">
        <v>74</v>
      </c>
      <c r="H702" t="s">
        <v>74</v>
      </c>
      <c r="I702" t="s">
        <v>10158</v>
      </c>
      <c r="J702" t="s">
        <v>1457</v>
      </c>
      <c r="K702" t="s">
        <v>74</v>
      </c>
      <c r="L702" t="s">
        <v>74</v>
      </c>
      <c r="M702" t="s">
        <v>77</v>
      </c>
      <c r="N702" t="s">
        <v>78</v>
      </c>
      <c r="O702" t="s">
        <v>74</v>
      </c>
      <c r="P702" t="s">
        <v>74</v>
      </c>
      <c r="Q702" t="s">
        <v>74</v>
      </c>
      <c r="R702" t="s">
        <v>74</v>
      </c>
      <c r="S702" t="s">
        <v>74</v>
      </c>
      <c r="T702" t="s">
        <v>10159</v>
      </c>
      <c r="U702" t="s">
        <v>10160</v>
      </c>
      <c r="V702" t="s">
        <v>10161</v>
      </c>
      <c r="W702" t="s">
        <v>10162</v>
      </c>
      <c r="X702" t="s">
        <v>10163</v>
      </c>
      <c r="Y702" t="s">
        <v>10164</v>
      </c>
      <c r="Z702" t="s">
        <v>10165</v>
      </c>
      <c r="AA702" t="s">
        <v>10166</v>
      </c>
      <c r="AB702" t="s">
        <v>10167</v>
      </c>
      <c r="AC702" t="s">
        <v>74</v>
      </c>
      <c r="AD702" t="s">
        <v>74</v>
      </c>
      <c r="AE702" t="s">
        <v>74</v>
      </c>
      <c r="AF702" t="s">
        <v>74</v>
      </c>
      <c r="AG702">
        <v>57</v>
      </c>
      <c r="AH702">
        <v>37</v>
      </c>
      <c r="AI702">
        <v>40</v>
      </c>
      <c r="AJ702">
        <v>0</v>
      </c>
      <c r="AK702">
        <v>6</v>
      </c>
      <c r="AL702" t="s">
        <v>255</v>
      </c>
      <c r="AM702" t="s">
        <v>256</v>
      </c>
      <c r="AN702" t="s">
        <v>257</v>
      </c>
      <c r="AO702" t="s">
        <v>1467</v>
      </c>
      <c r="AP702" t="s">
        <v>1468</v>
      </c>
      <c r="AQ702" t="s">
        <v>74</v>
      </c>
      <c r="AR702" t="s">
        <v>1469</v>
      </c>
      <c r="AS702" t="s">
        <v>1470</v>
      </c>
      <c r="AT702" t="s">
        <v>9676</v>
      </c>
      <c r="AU702">
        <v>2005</v>
      </c>
      <c r="AV702">
        <v>52</v>
      </c>
      <c r="AW702">
        <v>1</v>
      </c>
      <c r="AX702" t="s">
        <v>74</v>
      </c>
      <c r="AY702" t="s">
        <v>74</v>
      </c>
      <c r="AZ702" t="s">
        <v>74</v>
      </c>
      <c r="BA702" t="s">
        <v>74</v>
      </c>
      <c r="BB702">
        <v>51</v>
      </c>
      <c r="BC702">
        <v>68</v>
      </c>
      <c r="BD702" t="s">
        <v>74</v>
      </c>
      <c r="BE702" t="s">
        <v>10168</v>
      </c>
      <c r="BF702" t="str">
        <f>HYPERLINK("http://dx.doi.org/10.1016/j.dsr.2004.07.020","http://dx.doi.org/10.1016/j.dsr.2004.07.020")</f>
        <v>http://dx.doi.org/10.1016/j.dsr.2004.07.020</v>
      </c>
      <c r="BG702" t="s">
        <v>74</v>
      </c>
      <c r="BH702" t="s">
        <v>74</v>
      </c>
      <c r="BI702">
        <v>18</v>
      </c>
      <c r="BJ702" t="s">
        <v>632</v>
      </c>
      <c r="BK702" t="s">
        <v>95</v>
      </c>
      <c r="BL702" t="s">
        <v>632</v>
      </c>
      <c r="BM702" t="s">
        <v>10169</v>
      </c>
      <c r="BN702" t="s">
        <v>74</v>
      </c>
      <c r="BO702" t="s">
        <v>74</v>
      </c>
      <c r="BP702" t="s">
        <v>74</v>
      </c>
      <c r="BQ702" t="s">
        <v>74</v>
      </c>
      <c r="BR702" t="s">
        <v>97</v>
      </c>
      <c r="BS702" t="s">
        <v>10170</v>
      </c>
      <c r="BT702" t="str">
        <f>HYPERLINK("https%3A%2F%2Fwww.webofscience.com%2Fwos%2Fwoscc%2Ffull-record%2FWOS:000226369900004","View Full Record in Web of Science")</f>
        <v>View Full Record in Web of Science</v>
      </c>
    </row>
    <row r="703" spans="1:72" x14ac:dyDescent="0.15">
      <c r="A703" t="s">
        <v>72</v>
      </c>
      <c r="B703" t="s">
        <v>10171</v>
      </c>
      <c r="C703" t="s">
        <v>74</v>
      </c>
      <c r="D703" t="s">
        <v>74</v>
      </c>
      <c r="E703" t="s">
        <v>74</v>
      </c>
      <c r="F703" t="s">
        <v>10171</v>
      </c>
      <c r="G703" t="s">
        <v>74</v>
      </c>
      <c r="H703" t="s">
        <v>74</v>
      </c>
      <c r="I703" t="s">
        <v>10172</v>
      </c>
      <c r="J703" t="s">
        <v>10173</v>
      </c>
      <c r="K703" t="s">
        <v>74</v>
      </c>
      <c r="L703" t="s">
        <v>74</v>
      </c>
      <c r="M703" t="s">
        <v>77</v>
      </c>
      <c r="N703" t="s">
        <v>78</v>
      </c>
      <c r="O703" t="s">
        <v>74</v>
      </c>
      <c r="P703" t="s">
        <v>74</v>
      </c>
      <c r="Q703" t="s">
        <v>74</v>
      </c>
      <c r="R703" t="s">
        <v>74</v>
      </c>
      <c r="S703" t="s">
        <v>74</v>
      </c>
      <c r="T703" t="s">
        <v>74</v>
      </c>
      <c r="U703" t="s">
        <v>10174</v>
      </c>
      <c r="V703" t="s">
        <v>10175</v>
      </c>
      <c r="W703" t="s">
        <v>10176</v>
      </c>
      <c r="X703" t="s">
        <v>10177</v>
      </c>
      <c r="Y703" t="s">
        <v>10178</v>
      </c>
      <c r="Z703" t="s">
        <v>1099</v>
      </c>
      <c r="AA703" t="s">
        <v>74</v>
      </c>
      <c r="AB703" t="s">
        <v>74</v>
      </c>
      <c r="AC703" t="s">
        <v>74</v>
      </c>
      <c r="AD703" t="s">
        <v>74</v>
      </c>
      <c r="AE703" t="s">
        <v>74</v>
      </c>
      <c r="AF703" t="s">
        <v>74</v>
      </c>
      <c r="AG703">
        <v>74</v>
      </c>
      <c r="AH703">
        <v>78</v>
      </c>
      <c r="AI703">
        <v>105</v>
      </c>
      <c r="AJ703">
        <v>1</v>
      </c>
      <c r="AK703">
        <v>30</v>
      </c>
      <c r="AL703" t="s">
        <v>255</v>
      </c>
      <c r="AM703" t="s">
        <v>256</v>
      </c>
      <c r="AN703" t="s">
        <v>257</v>
      </c>
      <c r="AO703" t="s">
        <v>10179</v>
      </c>
      <c r="AP703" t="s">
        <v>10180</v>
      </c>
      <c r="AQ703" t="s">
        <v>74</v>
      </c>
      <c r="AR703" t="s">
        <v>10181</v>
      </c>
      <c r="AS703" t="s">
        <v>10182</v>
      </c>
      <c r="AT703" t="s">
        <v>74</v>
      </c>
      <c r="AU703">
        <v>2005</v>
      </c>
      <c r="AV703">
        <v>52</v>
      </c>
      <c r="AW703" t="s">
        <v>442</v>
      </c>
      <c r="AX703" t="s">
        <v>74</v>
      </c>
      <c r="AY703" t="s">
        <v>74</v>
      </c>
      <c r="AZ703" t="s">
        <v>74</v>
      </c>
      <c r="BA703" t="s">
        <v>74</v>
      </c>
      <c r="BB703">
        <v>123</v>
      </c>
      <c r="BC703">
        <v>143</v>
      </c>
      <c r="BD703" t="s">
        <v>74</v>
      </c>
      <c r="BE703" t="s">
        <v>10183</v>
      </c>
      <c r="BF703" t="str">
        <f>HYPERLINK("http://dx.doi.org/10.1016/j.dsr2.2004.08.016","http://dx.doi.org/10.1016/j.dsr2.2004.08.016")</f>
        <v>http://dx.doi.org/10.1016/j.dsr2.2004.08.016</v>
      </c>
      <c r="BG703" t="s">
        <v>74</v>
      </c>
      <c r="BH703" t="s">
        <v>74</v>
      </c>
      <c r="BI703">
        <v>21</v>
      </c>
      <c r="BJ703" t="s">
        <v>632</v>
      </c>
      <c r="BK703" t="s">
        <v>95</v>
      </c>
      <c r="BL703" t="s">
        <v>632</v>
      </c>
      <c r="BM703" t="s">
        <v>10184</v>
      </c>
      <c r="BN703" t="s">
        <v>74</v>
      </c>
      <c r="BO703" t="s">
        <v>143</v>
      </c>
      <c r="BP703" t="s">
        <v>74</v>
      </c>
      <c r="BQ703" t="s">
        <v>74</v>
      </c>
      <c r="BR703" t="s">
        <v>97</v>
      </c>
      <c r="BS703" t="s">
        <v>10185</v>
      </c>
      <c r="BT703" t="str">
        <f>HYPERLINK("https%3A%2F%2Fwww.webofscience.com%2Fwos%2Fwoscc%2Ffull-record%2FWOS:000228095200008","View Full Record in Web of Science")</f>
        <v>View Full Record in Web of Science</v>
      </c>
    </row>
    <row r="704" spans="1:72" x14ac:dyDescent="0.15">
      <c r="A704" t="s">
        <v>72</v>
      </c>
      <c r="B704" t="s">
        <v>10186</v>
      </c>
      <c r="C704" t="s">
        <v>74</v>
      </c>
      <c r="D704" t="s">
        <v>74</v>
      </c>
      <c r="E704" t="s">
        <v>74</v>
      </c>
      <c r="F704" t="s">
        <v>10186</v>
      </c>
      <c r="G704" t="s">
        <v>74</v>
      </c>
      <c r="H704" t="s">
        <v>74</v>
      </c>
      <c r="I704" t="s">
        <v>10187</v>
      </c>
      <c r="J704" t="s">
        <v>10173</v>
      </c>
      <c r="K704" t="s">
        <v>74</v>
      </c>
      <c r="L704" t="s">
        <v>74</v>
      </c>
      <c r="M704" t="s">
        <v>77</v>
      </c>
      <c r="N704" t="s">
        <v>78</v>
      </c>
      <c r="O704" t="s">
        <v>74</v>
      </c>
      <c r="P704" t="s">
        <v>74</v>
      </c>
      <c r="Q704" t="s">
        <v>74</v>
      </c>
      <c r="R704" t="s">
        <v>74</v>
      </c>
      <c r="S704" t="s">
        <v>74</v>
      </c>
      <c r="T704" t="s">
        <v>74</v>
      </c>
      <c r="U704" t="s">
        <v>10188</v>
      </c>
      <c r="V704" t="s">
        <v>10189</v>
      </c>
      <c r="W704" t="s">
        <v>10190</v>
      </c>
      <c r="X704" t="s">
        <v>10191</v>
      </c>
      <c r="Y704" t="s">
        <v>10192</v>
      </c>
      <c r="Z704" t="s">
        <v>10193</v>
      </c>
      <c r="AA704" t="s">
        <v>10194</v>
      </c>
      <c r="AB704" t="s">
        <v>10195</v>
      </c>
      <c r="AC704" t="s">
        <v>74</v>
      </c>
      <c r="AD704" t="s">
        <v>74</v>
      </c>
      <c r="AE704" t="s">
        <v>74</v>
      </c>
      <c r="AF704" t="s">
        <v>74</v>
      </c>
      <c r="AG704">
        <v>44</v>
      </c>
      <c r="AH704">
        <v>12</v>
      </c>
      <c r="AI704">
        <v>13</v>
      </c>
      <c r="AJ704">
        <v>0</v>
      </c>
      <c r="AK704">
        <v>11</v>
      </c>
      <c r="AL704" t="s">
        <v>255</v>
      </c>
      <c r="AM704" t="s">
        <v>256</v>
      </c>
      <c r="AN704" t="s">
        <v>257</v>
      </c>
      <c r="AO704" t="s">
        <v>10179</v>
      </c>
      <c r="AP704" t="s">
        <v>10180</v>
      </c>
      <c r="AQ704" t="s">
        <v>74</v>
      </c>
      <c r="AR704" t="s">
        <v>10181</v>
      </c>
      <c r="AS704" t="s">
        <v>10182</v>
      </c>
      <c r="AT704" t="s">
        <v>74</v>
      </c>
      <c r="AU704">
        <v>2005</v>
      </c>
      <c r="AV704">
        <v>52</v>
      </c>
      <c r="AW704" t="s">
        <v>961</v>
      </c>
      <c r="AX704" t="s">
        <v>74</v>
      </c>
      <c r="AY704" t="s">
        <v>74</v>
      </c>
      <c r="AZ704" t="s">
        <v>74</v>
      </c>
      <c r="BA704" t="s">
        <v>74</v>
      </c>
      <c r="BB704">
        <v>409</v>
      </c>
      <c r="BC704">
        <v>428</v>
      </c>
      <c r="BD704" t="s">
        <v>74</v>
      </c>
      <c r="BE704" t="s">
        <v>10196</v>
      </c>
      <c r="BF704" t="str">
        <f>HYPERLINK("http://dx.doi.org/10.1016/j.dsr2.2004.12.008","http://dx.doi.org/10.1016/j.dsr2.2004.12.008")</f>
        <v>http://dx.doi.org/10.1016/j.dsr2.2004.12.008</v>
      </c>
      <c r="BG704" t="s">
        <v>74</v>
      </c>
      <c r="BH704" t="s">
        <v>74</v>
      </c>
      <c r="BI704">
        <v>20</v>
      </c>
      <c r="BJ704" t="s">
        <v>632</v>
      </c>
      <c r="BK704" t="s">
        <v>95</v>
      </c>
      <c r="BL704" t="s">
        <v>632</v>
      </c>
      <c r="BM704" t="s">
        <v>10197</v>
      </c>
      <c r="BN704" t="s">
        <v>74</v>
      </c>
      <c r="BO704" t="s">
        <v>143</v>
      </c>
      <c r="BP704" t="s">
        <v>74</v>
      </c>
      <c r="BQ704" t="s">
        <v>74</v>
      </c>
      <c r="BR704" t="s">
        <v>97</v>
      </c>
      <c r="BS704" t="s">
        <v>10198</v>
      </c>
      <c r="BT704" t="str">
        <f>HYPERLINK("https%3A%2F%2Fwww.webofscience.com%2Fwos%2Fwoscc%2Ffull-record%2FWOS:000229014000003","View Full Record in Web of Science")</f>
        <v>View Full Record in Web of Science</v>
      </c>
    </row>
    <row r="705" spans="1:72" x14ac:dyDescent="0.15">
      <c r="A705" t="s">
        <v>72</v>
      </c>
      <c r="B705" t="s">
        <v>10199</v>
      </c>
      <c r="C705" t="s">
        <v>74</v>
      </c>
      <c r="D705" t="s">
        <v>74</v>
      </c>
      <c r="E705" t="s">
        <v>74</v>
      </c>
      <c r="F705" t="s">
        <v>10199</v>
      </c>
      <c r="G705" t="s">
        <v>74</v>
      </c>
      <c r="H705" t="s">
        <v>74</v>
      </c>
      <c r="I705" t="s">
        <v>10200</v>
      </c>
      <c r="J705" t="s">
        <v>10173</v>
      </c>
      <c r="K705" t="s">
        <v>74</v>
      </c>
      <c r="L705" t="s">
        <v>74</v>
      </c>
      <c r="M705" t="s">
        <v>77</v>
      </c>
      <c r="N705" t="s">
        <v>78</v>
      </c>
      <c r="O705" t="s">
        <v>74</v>
      </c>
      <c r="P705" t="s">
        <v>74</v>
      </c>
      <c r="Q705" t="s">
        <v>74</v>
      </c>
      <c r="R705" t="s">
        <v>74</v>
      </c>
      <c r="S705" t="s">
        <v>74</v>
      </c>
      <c r="T705" t="s">
        <v>74</v>
      </c>
      <c r="U705" t="s">
        <v>10201</v>
      </c>
      <c r="V705" t="s">
        <v>10202</v>
      </c>
      <c r="W705" t="s">
        <v>10203</v>
      </c>
      <c r="X705" t="s">
        <v>1665</v>
      </c>
      <c r="Y705" t="s">
        <v>10204</v>
      </c>
      <c r="Z705" t="s">
        <v>10205</v>
      </c>
      <c r="AA705" t="s">
        <v>74</v>
      </c>
      <c r="AB705" t="s">
        <v>74</v>
      </c>
      <c r="AC705" t="s">
        <v>74</v>
      </c>
      <c r="AD705" t="s">
        <v>74</v>
      </c>
      <c r="AE705" t="s">
        <v>74</v>
      </c>
      <c r="AF705" t="s">
        <v>74</v>
      </c>
      <c r="AG705">
        <v>24</v>
      </c>
      <c r="AH705">
        <v>13</v>
      </c>
      <c r="AI705">
        <v>14</v>
      </c>
      <c r="AJ705">
        <v>0</v>
      </c>
      <c r="AK705">
        <v>3</v>
      </c>
      <c r="AL705" t="s">
        <v>255</v>
      </c>
      <c r="AM705" t="s">
        <v>256</v>
      </c>
      <c r="AN705" t="s">
        <v>257</v>
      </c>
      <c r="AO705" t="s">
        <v>10179</v>
      </c>
      <c r="AP705" t="s">
        <v>74</v>
      </c>
      <c r="AQ705" t="s">
        <v>74</v>
      </c>
      <c r="AR705" t="s">
        <v>10181</v>
      </c>
      <c r="AS705" t="s">
        <v>10182</v>
      </c>
      <c r="AT705" t="s">
        <v>74</v>
      </c>
      <c r="AU705">
        <v>2005</v>
      </c>
      <c r="AV705">
        <v>52</v>
      </c>
      <c r="AW705" t="s">
        <v>961</v>
      </c>
      <c r="AX705" t="s">
        <v>74</v>
      </c>
      <c r="AY705" t="s">
        <v>74</v>
      </c>
      <c r="AZ705" t="s">
        <v>74</v>
      </c>
      <c r="BA705" t="s">
        <v>74</v>
      </c>
      <c r="BB705">
        <v>495</v>
      </c>
      <c r="BC705">
        <v>512</v>
      </c>
      <c r="BD705" t="s">
        <v>74</v>
      </c>
      <c r="BE705" t="s">
        <v>10206</v>
      </c>
      <c r="BF705" t="str">
        <f>HYPERLINK("http://dx.doi.org/10.1016/j.dsr2.2004.12.012","http://dx.doi.org/10.1016/j.dsr2.2004.12.012")</f>
        <v>http://dx.doi.org/10.1016/j.dsr2.2004.12.012</v>
      </c>
      <c r="BG705" t="s">
        <v>74</v>
      </c>
      <c r="BH705" t="s">
        <v>74</v>
      </c>
      <c r="BI705">
        <v>18</v>
      </c>
      <c r="BJ705" t="s">
        <v>632</v>
      </c>
      <c r="BK705" t="s">
        <v>95</v>
      </c>
      <c r="BL705" t="s">
        <v>632</v>
      </c>
      <c r="BM705" t="s">
        <v>10197</v>
      </c>
      <c r="BN705" t="s">
        <v>74</v>
      </c>
      <c r="BO705" t="s">
        <v>74</v>
      </c>
      <c r="BP705" t="s">
        <v>74</v>
      </c>
      <c r="BQ705" t="s">
        <v>74</v>
      </c>
      <c r="BR705" t="s">
        <v>97</v>
      </c>
      <c r="BS705" t="s">
        <v>10207</v>
      </c>
      <c r="BT705" t="str">
        <f>HYPERLINK("https%3A%2F%2Fwww.webofscience.com%2Fwos%2Fwoscc%2Ffull-record%2FWOS:000229014000007","View Full Record in Web of Science")</f>
        <v>View Full Record in Web of Science</v>
      </c>
    </row>
    <row r="706" spans="1:72" x14ac:dyDescent="0.15">
      <c r="A706" t="s">
        <v>72</v>
      </c>
      <c r="B706" t="s">
        <v>10208</v>
      </c>
      <c r="C706" t="s">
        <v>74</v>
      </c>
      <c r="D706" t="s">
        <v>74</v>
      </c>
      <c r="E706" t="s">
        <v>74</v>
      </c>
      <c r="F706" t="s">
        <v>10208</v>
      </c>
      <c r="G706" t="s">
        <v>74</v>
      </c>
      <c r="H706" t="s">
        <v>74</v>
      </c>
      <c r="I706" t="s">
        <v>10209</v>
      </c>
      <c r="J706" t="s">
        <v>10173</v>
      </c>
      <c r="K706" t="s">
        <v>74</v>
      </c>
      <c r="L706" t="s">
        <v>74</v>
      </c>
      <c r="M706" t="s">
        <v>77</v>
      </c>
      <c r="N706" t="s">
        <v>78</v>
      </c>
      <c r="O706" t="s">
        <v>74</v>
      </c>
      <c r="P706" t="s">
        <v>74</v>
      </c>
      <c r="Q706" t="s">
        <v>74</v>
      </c>
      <c r="R706" t="s">
        <v>74</v>
      </c>
      <c r="S706" t="s">
        <v>74</v>
      </c>
      <c r="T706" t="s">
        <v>74</v>
      </c>
      <c r="U706" t="s">
        <v>10210</v>
      </c>
      <c r="V706" t="s">
        <v>10211</v>
      </c>
      <c r="W706" t="s">
        <v>6865</v>
      </c>
      <c r="X706" t="s">
        <v>128</v>
      </c>
      <c r="Y706" t="s">
        <v>10212</v>
      </c>
      <c r="Z706" t="s">
        <v>10213</v>
      </c>
      <c r="AA706" t="s">
        <v>10214</v>
      </c>
      <c r="AB706" t="s">
        <v>10215</v>
      </c>
      <c r="AC706" t="s">
        <v>74</v>
      </c>
      <c r="AD706" t="s">
        <v>74</v>
      </c>
      <c r="AE706" t="s">
        <v>74</v>
      </c>
      <c r="AF706" t="s">
        <v>74</v>
      </c>
      <c r="AG706">
        <v>49</v>
      </c>
      <c r="AH706">
        <v>75</v>
      </c>
      <c r="AI706">
        <v>80</v>
      </c>
      <c r="AJ706">
        <v>0</v>
      </c>
      <c r="AK706">
        <v>5</v>
      </c>
      <c r="AL706" t="s">
        <v>255</v>
      </c>
      <c r="AM706" t="s">
        <v>256</v>
      </c>
      <c r="AN706" t="s">
        <v>257</v>
      </c>
      <c r="AO706" t="s">
        <v>10179</v>
      </c>
      <c r="AP706" t="s">
        <v>10180</v>
      </c>
      <c r="AQ706" t="s">
        <v>74</v>
      </c>
      <c r="AR706" t="s">
        <v>10181</v>
      </c>
      <c r="AS706" t="s">
        <v>10182</v>
      </c>
      <c r="AT706" t="s">
        <v>74</v>
      </c>
      <c r="AU706">
        <v>2005</v>
      </c>
      <c r="AV706">
        <v>52</v>
      </c>
      <c r="AW706" t="s">
        <v>961</v>
      </c>
      <c r="AX706" t="s">
        <v>74</v>
      </c>
      <c r="AY706" t="s">
        <v>74</v>
      </c>
      <c r="AZ706" t="s">
        <v>74</v>
      </c>
      <c r="BA706" t="s">
        <v>74</v>
      </c>
      <c r="BB706">
        <v>513</v>
      </c>
      <c r="BC706">
        <v>528</v>
      </c>
      <c r="BD706" t="s">
        <v>74</v>
      </c>
      <c r="BE706" t="s">
        <v>10216</v>
      </c>
      <c r="BF706" t="str">
        <f>HYPERLINK("http://dx.doi.org/10.1016/j.dsr2.2004.12.015","http://dx.doi.org/10.1016/j.dsr2.2004.12.015")</f>
        <v>http://dx.doi.org/10.1016/j.dsr2.2004.12.015</v>
      </c>
      <c r="BG706" t="s">
        <v>74</v>
      </c>
      <c r="BH706" t="s">
        <v>74</v>
      </c>
      <c r="BI706">
        <v>16</v>
      </c>
      <c r="BJ706" t="s">
        <v>632</v>
      </c>
      <c r="BK706" t="s">
        <v>95</v>
      </c>
      <c r="BL706" t="s">
        <v>632</v>
      </c>
      <c r="BM706" t="s">
        <v>10197</v>
      </c>
      <c r="BN706" t="s">
        <v>74</v>
      </c>
      <c r="BO706" t="s">
        <v>74</v>
      </c>
      <c r="BP706" t="s">
        <v>74</v>
      </c>
      <c r="BQ706" t="s">
        <v>74</v>
      </c>
      <c r="BR706" t="s">
        <v>97</v>
      </c>
      <c r="BS706" t="s">
        <v>10217</v>
      </c>
      <c r="BT706" t="str">
        <f>HYPERLINK("https%3A%2F%2Fwww.webofscience.com%2Fwos%2Fwoscc%2Ffull-record%2FWOS:000229014000008","View Full Record in Web of Science")</f>
        <v>View Full Record in Web of Science</v>
      </c>
    </row>
    <row r="707" spans="1:72" x14ac:dyDescent="0.15">
      <c r="A707" t="s">
        <v>72</v>
      </c>
      <c r="B707" t="s">
        <v>10218</v>
      </c>
      <c r="C707" t="s">
        <v>74</v>
      </c>
      <c r="D707" t="s">
        <v>74</v>
      </c>
      <c r="E707" t="s">
        <v>74</v>
      </c>
      <c r="F707" t="s">
        <v>10218</v>
      </c>
      <c r="G707" t="s">
        <v>74</v>
      </c>
      <c r="H707" t="s">
        <v>74</v>
      </c>
      <c r="I707" t="s">
        <v>10219</v>
      </c>
      <c r="J707" t="s">
        <v>10173</v>
      </c>
      <c r="K707" t="s">
        <v>74</v>
      </c>
      <c r="L707" t="s">
        <v>74</v>
      </c>
      <c r="M707" t="s">
        <v>77</v>
      </c>
      <c r="N707" t="s">
        <v>78</v>
      </c>
      <c r="O707" t="s">
        <v>74</v>
      </c>
      <c r="P707" t="s">
        <v>74</v>
      </c>
      <c r="Q707" t="s">
        <v>74</v>
      </c>
      <c r="R707" t="s">
        <v>74</v>
      </c>
      <c r="S707" t="s">
        <v>74</v>
      </c>
      <c r="T707" t="s">
        <v>74</v>
      </c>
      <c r="U707" t="s">
        <v>10220</v>
      </c>
      <c r="V707" t="s">
        <v>10221</v>
      </c>
      <c r="W707" t="s">
        <v>10222</v>
      </c>
      <c r="X707" t="s">
        <v>10223</v>
      </c>
      <c r="Y707" t="s">
        <v>10224</v>
      </c>
      <c r="Z707" t="s">
        <v>10225</v>
      </c>
      <c r="AA707" t="s">
        <v>10226</v>
      </c>
      <c r="AB707" t="s">
        <v>3621</v>
      </c>
      <c r="AC707" t="s">
        <v>74</v>
      </c>
      <c r="AD707" t="s">
        <v>74</v>
      </c>
      <c r="AE707" t="s">
        <v>74</v>
      </c>
      <c r="AF707" t="s">
        <v>74</v>
      </c>
      <c r="AG707">
        <v>72</v>
      </c>
      <c r="AH707">
        <v>19</v>
      </c>
      <c r="AI707">
        <v>19</v>
      </c>
      <c r="AJ707">
        <v>0</v>
      </c>
      <c r="AK707">
        <v>10</v>
      </c>
      <c r="AL707" t="s">
        <v>255</v>
      </c>
      <c r="AM707" t="s">
        <v>256</v>
      </c>
      <c r="AN707" t="s">
        <v>257</v>
      </c>
      <c r="AO707" t="s">
        <v>10179</v>
      </c>
      <c r="AP707" t="s">
        <v>10180</v>
      </c>
      <c r="AQ707" t="s">
        <v>74</v>
      </c>
      <c r="AR707" t="s">
        <v>10181</v>
      </c>
      <c r="AS707" t="s">
        <v>10182</v>
      </c>
      <c r="AT707" t="s">
        <v>74</v>
      </c>
      <c r="AU707">
        <v>2005</v>
      </c>
      <c r="AV707">
        <v>52</v>
      </c>
      <c r="AW707" t="s">
        <v>961</v>
      </c>
      <c r="AX707" t="s">
        <v>74</v>
      </c>
      <c r="AY707" t="s">
        <v>74</v>
      </c>
      <c r="AZ707" t="s">
        <v>74</v>
      </c>
      <c r="BA707" t="s">
        <v>74</v>
      </c>
      <c r="BB707">
        <v>545</v>
      </c>
      <c r="BC707">
        <v>564</v>
      </c>
      <c r="BD707" t="s">
        <v>74</v>
      </c>
      <c r="BE707" t="s">
        <v>10227</v>
      </c>
      <c r="BF707" t="str">
        <f>HYPERLINK("http://dx.doi.org/10.1016/j.dsr2.2004.12.006","http://dx.doi.org/10.1016/j.dsr2.2004.12.006")</f>
        <v>http://dx.doi.org/10.1016/j.dsr2.2004.12.006</v>
      </c>
      <c r="BG707" t="s">
        <v>74</v>
      </c>
      <c r="BH707" t="s">
        <v>74</v>
      </c>
      <c r="BI707">
        <v>20</v>
      </c>
      <c r="BJ707" t="s">
        <v>632</v>
      </c>
      <c r="BK707" t="s">
        <v>95</v>
      </c>
      <c r="BL707" t="s">
        <v>632</v>
      </c>
      <c r="BM707" t="s">
        <v>10197</v>
      </c>
      <c r="BN707" t="s">
        <v>74</v>
      </c>
      <c r="BO707" t="s">
        <v>10228</v>
      </c>
      <c r="BP707" t="s">
        <v>74</v>
      </c>
      <c r="BQ707" t="s">
        <v>74</v>
      </c>
      <c r="BR707" t="s">
        <v>97</v>
      </c>
      <c r="BS707" t="s">
        <v>10229</v>
      </c>
      <c r="BT707" t="str">
        <f>HYPERLINK("https%3A%2F%2Fwww.webofscience.com%2Fwos%2Fwoscc%2Ffull-record%2FWOS:000229014000010","View Full Record in Web of Science")</f>
        <v>View Full Record in Web of Science</v>
      </c>
    </row>
    <row r="708" spans="1:72" x14ac:dyDescent="0.15">
      <c r="A708" t="s">
        <v>72</v>
      </c>
      <c r="B708" t="s">
        <v>10230</v>
      </c>
      <c r="C708" t="s">
        <v>74</v>
      </c>
      <c r="D708" t="s">
        <v>74</v>
      </c>
      <c r="E708" t="s">
        <v>74</v>
      </c>
      <c r="F708" t="s">
        <v>10230</v>
      </c>
      <c r="G708" t="s">
        <v>74</v>
      </c>
      <c r="H708" t="s">
        <v>74</v>
      </c>
      <c r="I708" t="s">
        <v>10231</v>
      </c>
      <c r="J708" t="s">
        <v>10173</v>
      </c>
      <c r="K708" t="s">
        <v>74</v>
      </c>
      <c r="L708" t="s">
        <v>74</v>
      </c>
      <c r="M708" t="s">
        <v>77</v>
      </c>
      <c r="N708" t="s">
        <v>495</v>
      </c>
      <c r="O708" t="s">
        <v>10232</v>
      </c>
      <c r="P708" t="s">
        <v>10233</v>
      </c>
      <c r="Q708" t="s">
        <v>10234</v>
      </c>
      <c r="R708" t="s">
        <v>74</v>
      </c>
      <c r="S708" t="s">
        <v>74</v>
      </c>
      <c r="T708" t="s">
        <v>74</v>
      </c>
      <c r="U708" t="s">
        <v>10235</v>
      </c>
      <c r="V708" t="s">
        <v>10236</v>
      </c>
      <c r="W708" t="s">
        <v>10237</v>
      </c>
      <c r="X708" t="s">
        <v>128</v>
      </c>
      <c r="Y708" t="s">
        <v>5124</v>
      </c>
      <c r="Z708" t="s">
        <v>74</v>
      </c>
      <c r="AA708" t="s">
        <v>10238</v>
      </c>
      <c r="AB708" t="s">
        <v>10239</v>
      </c>
      <c r="AC708" t="s">
        <v>74</v>
      </c>
      <c r="AD708" t="s">
        <v>74</v>
      </c>
      <c r="AE708" t="s">
        <v>74</v>
      </c>
      <c r="AF708" t="s">
        <v>74</v>
      </c>
      <c r="AG708">
        <v>36</v>
      </c>
      <c r="AH708">
        <v>62</v>
      </c>
      <c r="AI708">
        <v>67</v>
      </c>
      <c r="AJ708">
        <v>0</v>
      </c>
      <c r="AK708">
        <v>18</v>
      </c>
      <c r="AL708" t="s">
        <v>255</v>
      </c>
      <c r="AM708" t="s">
        <v>256</v>
      </c>
      <c r="AN708" t="s">
        <v>257</v>
      </c>
      <c r="AO708" t="s">
        <v>10179</v>
      </c>
      <c r="AP708" t="s">
        <v>10180</v>
      </c>
      <c r="AQ708" t="s">
        <v>74</v>
      </c>
      <c r="AR708" t="s">
        <v>10181</v>
      </c>
      <c r="AS708" t="s">
        <v>10182</v>
      </c>
      <c r="AT708" t="s">
        <v>74</v>
      </c>
      <c r="AU708">
        <v>2005</v>
      </c>
      <c r="AV708">
        <v>52</v>
      </c>
      <c r="AW708" t="s">
        <v>10240</v>
      </c>
      <c r="AX708" t="s">
        <v>74</v>
      </c>
      <c r="AY708" t="s">
        <v>74</v>
      </c>
      <c r="AZ708" t="s">
        <v>74</v>
      </c>
      <c r="BA708" t="s">
        <v>74</v>
      </c>
      <c r="BB708">
        <v>1087</v>
      </c>
      <c r="BC708">
        <v>1108</v>
      </c>
      <c r="BD708" t="s">
        <v>74</v>
      </c>
      <c r="BE708" t="s">
        <v>10241</v>
      </c>
      <c r="BF708" t="str">
        <f>HYPERLINK("http://dx.doi.org/10.1016/j.dsr2.2005.01.010","http://dx.doi.org/10.1016/j.dsr2.2005.01.010")</f>
        <v>http://dx.doi.org/10.1016/j.dsr2.2005.01.010</v>
      </c>
      <c r="BG708" t="s">
        <v>74</v>
      </c>
      <c r="BH708" t="s">
        <v>74</v>
      </c>
      <c r="BI708">
        <v>22</v>
      </c>
      <c r="BJ708" t="s">
        <v>632</v>
      </c>
      <c r="BK708" t="s">
        <v>514</v>
      </c>
      <c r="BL708" t="s">
        <v>632</v>
      </c>
      <c r="BM708" t="s">
        <v>10242</v>
      </c>
      <c r="BN708" t="s">
        <v>74</v>
      </c>
      <c r="BO708" t="s">
        <v>750</v>
      </c>
      <c r="BP708" t="s">
        <v>74</v>
      </c>
      <c r="BQ708" t="s">
        <v>74</v>
      </c>
      <c r="BR708" t="s">
        <v>97</v>
      </c>
      <c r="BS708" t="s">
        <v>10243</v>
      </c>
      <c r="BT708" t="str">
        <f>HYPERLINK("https%3A%2F%2Fwww.webofscience.com%2Fwos%2Fwoscc%2Ffull-record%2FWOS:000230417700003","View Full Record in Web of Science")</f>
        <v>View Full Record in Web of Science</v>
      </c>
    </row>
    <row r="709" spans="1:72" x14ac:dyDescent="0.15">
      <c r="A709" t="s">
        <v>72</v>
      </c>
      <c r="B709" t="s">
        <v>10244</v>
      </c>
      <c r="C709" t="s">
        <v>74</v>
      </c>
      <c r="D709" t="s">
        <v>74</v>
      </c>
      <c r="E709" t="s">
        <v>74</v>
      </c>
      <c r="F709" t="s">
        <v>10244</v>
      </c>
      <c r="G709" t="s">
        <v>74</v>
      </c>
      <c r="H709" t="s">
        <v>74</v>
      </c>
      <c r="I709" t="s">
        <v>10245</v>
      </c>
      <c r="J709" t="s">
        <v>10246</v>
      </c>
      <c r="K709" t="s">
        <v>74</v>
      </c>
      <c r="L709" t="s">
        <v>74</v>
      </c>
      <c r="M709" t="s">
        <v>77</v>
      </c>
      <c r="N709" t="s">
        <v>78</v>
      </c>
      <c r="O709" t="s">
        <v>74</v>
      </c>
      <c r="P709" t="s">
        <v>74</v>
      </c>
      <c r="Q709" t="s">
        <v>74</v>
      </c>
      <c r="R709" t="s">
        <v>74</v>
      </c>
      <c r="S709" t="s">
        <v>74</v>
      </c>
      <c r="T709" t="s">
        <v>10247</v>
      </c>
      <c r="U709" t="s">
        <v>10248</v>
      </c>
      <c r="V709" t="s">
        <v>10249</v>
      </c>
      <c r="W709" t="s">
        <v>10250</v>
      </c>
      <c r="X709" t="s">
        <v>10251</v>
      </c>
      <c r="Y709" t="s">
        <v>10252</v>
      </c>
      <c r="Z709" t="s">
        <v>10253</v>
      </c>
      <c r="AA709" t="s">
        <v>10254</v>
      </c>
      <c r="AB709" t="s">
        <v>10255</v>
      </c>
      <c r="AC709" t="s">
        <v>74</v>
      </c>
      <c r="AD709" t="s">
        <v>74</v>
      </c>
      <c r="AE709" t="s">
        <v>74</v>
      </c>
      <c r="AF709" t="s">
        <v>74</v>
      </c>
      <c r="AG709">
        <v>53</v>
      </c>
      <c r="AH709">
        <v>37</v>
      </c>
      <c r="AI709">
        <v>40</v>
      </c>
      <c r="AJ709">
        <v>0</v>
      </c>
      <c r="AK709">
        <v>6</v>
      </c>
      <c r="AL709" t="s">
        <v>2232</v>
      </c>
      <c r="AM709" t="s">
        <v>256</v>
      </c>
      <c r="AN709" t="s">
        <v>2233</v>
      </c>
      <c r="AO709" t="s">
        <v>10256</v>
      </c>
      <c r="AP709" t="s">
        <v>10257</v>
      </c>
      <c r="AQ709" t="s">
        <v>74</v>
      </c>
      <c r="AR709" t="s">
        <v>10258</v>
      </c>
      <c r="AS709" t="s">
        <v>10259</v>
      </c>
      <c r="AT709" t="s">
        <v>74</v>
      </c>
      <c r="AU709">
        <v>2005</v>
      </c>
      <c r="AV709">
        <v>29</v>
      </c>
      <c r="AW709">
        <v>5</v>
      </c>
      <c r="AX709" t="s">
        <v>74</v>
      </c>
      <c r="AY709" t="s">
        <v>74</v>
      </c>
      <c r="AZ709" t="s">
        <v>74</v>
      </c>
      <c r="BA709" t="s">
        <v>74</v>
      </c>
      <c r="BB709">
        <v>431</v>
      </c>
      <c r="BC709">
        <v>442</v>
      </c>
      <c r="BD709" t="s">
        <v>74</v>
      </c>
      <c r="BE709" t="s">
        <v>10260</v>
      </c>
      <c r="BF709" t="str">
        <f>HYPERLINK("http://dx.doi.org/10.1016/j.dci.2004.09.004","http://dx.doi.org/10.1016/j.dci.2004.09.004")</f>
        <v>http://dx.doi.org/10.1016/j.dci.2004.09.004</v>
      </c>
      <c r="BG709" t="s">
        <v>74</v>
      </c>
      <c r="BH709" t="s">
        <v>74</v>
      </c>
      <c r="BI709">
        <v>12</v>
      </c>
      <c r="BJ709" t="s">
        <v>10261</v>
      </c>
      <c r="BK709" t="s">
        <v>95</v>
      </c>
      <c r="BL709" t="s">
        <v>10261</v>
      </c>
      <c r="BM709" t="s">
        <v>10262</v>
      </c>
      <c r="BN709">
        <v>15707664</v>
      </c>
      <c r="BO709" t="s">
        <v>74</v>
      </c>
      <c r="BP709" t="s">
        <v>74</v>
      </c>
      <c r="BQ709" t="s">
        <v>74</v>
      </c>
      <c r="BR709" t="s">
        <v>97</v>
      </c>
      <c r="BS709" t="s">
        <v>10263</v>
      </c>
      <c r="BT709" t="str">
        <f>HYPERLINK("https%3A%2F%2Fwww.webofscience.com%2Fwos%2Fwoscc%2Ffull-record%2FWOS:000227365200005","View Full Record in Web of Science")</f>
        <v>View Full Record in Web of Science</v>
      </c>
    </row>
    <row r="710" spans="1:72" x14ac:dyDescent="0.15">
      <c r="A710" t="s">
        <v>8867</v>
      </c>
      <c r="B710" t="s">
        <v>10264</v>
      </c>
      <c r="C710" t="s">
        <v>74</v>
      </c>
      <c r="D710" t="s">
        <v>10265</v>
      </c>
      <c r="E710" t="s">
        <v>74</v>
      </c>
      <c r="F710" t="s">
        <v>10264</v>
      </c>
      <c r="G710" t="s">
        <v>74</v>
      </c>
      <c r="H710" t="s">
        <v>74</v>
      </c>
      <c r="I710" t="s">
        <v>10266</v>
      </c>
      <c r="J710" t="s">
        <v>10267</v>
      </c>
      <c r="K710" t="s">
        <v>10268</v>
      </c>
      <c r="L710" t="s">
        <v>74</v>
      </c>
      <c r="M710" t="s">
        <v>77</v>
      </c>
      <c r="N710" t="s">
        <v>8873</v>
      </c>
      <c r="O710" t="s">
        <v>10269</v>
      </c>
      <c r="P710">
        <v>2004</v>
      </c>
      <c r="Q710" t="s">
        <v>3641</v>
      </c>
      <c r="R710" t="s">
        <v>74</v>
      </c>
      <c r="S710" t="s">
        <v>74</v>
      </c>
      <c r="T710" t="s">
        <v>74</v>
      </c>
      <c r="U710" t="s">
        <v>10270</v>
      </c>
      <c r="V710" t="s">
        <v>10271</v>
      </c>
      <c r="W710" t="s">
        <v>10272</v>
      </c>
      <c r="X710" t="s">
        <v>897</v>
      </c>
      <c r="Y710" t="s">
        <v>10273</v>
      </c>
      <c r="Z710" t="s">
        <v>74</v>
      </c>
      <c r="AA710" t="s">
        <v>74</v>
      </c>
      <c r="AB710" t="s">
        <v>10274</v>
      </c>
      <c r="AC710" t="s">
        <v>74</v>
      </c>
      <c r="AD710" t="s">
        <v>74</v>
      </c>
      <c r="AE710" t="s">
        <v>74</v>
      </c>
      <c r="AF710" t="s">
        <v>74</v>
      </c>
      <c r="AG710">
        <v>11</v>
      </c>
      <c r="AH710">
        <v>6</v>
      </c>
      <c r="AI710">
        <v>6</v>
      </c>
      <c r="AJ710">
        <v>0</v>
      </c>
      <c r="AK710">
        <v>1</v>
      </c>
      <c r="AL710" t="s">
        <v>10275</v>
      </c>
      <c r="AM710" t="s">
        <v>10276</v>
      </c>
      <c r="AN710" t="s">
        <v>10277</v>
      </c>
      <c r="AO710" t="s">
        <v>10278</v>
      </c>
      <c r="AP710" t="s">
        <v>74</v>
      </c>
      <c r="AQ710" t="s">
        <v>10279</v>
      </c>
      <c r="AR710" t="s">
        <v>10280</v>
      </c>
      <c r="AS710" t="s">
        <v>74</v>
      </c>
      <c r="AT710" t="s">
        <v>74</v>
      </c>
      <c r="AU710">
        <v>2005</v>
      </c>
      <c r="AV710">
        <v>14</v>
      </c>
      <c r="AW710" t="s">
        <v>74</v>
      </c>
      <c r="AX710" t="s">
        <v>74</v>
      </c>
      <c r="AY710" t="s">
        <v>74</v>
      </c>
      <c r="AZ710" t="s">
        <v>74</v>
      </c>
      <c r="BA710" t="s">
        <v>74</v>
      </c>
      <c r="BB710">
        <v>7</v>
      </c>
      <c r="BC710">
        <v>12</v>
      </c>
      <c r="BD710" t="s">
        <v>74</v>
      </c>
      <c r="BE710" t="s">
        <v>10281</v>
      </c>
      <c r="BF710" t="str">
        <f>HYPERLINK("http://dx.doi.org/10.1051/eas:2005003","http://dx.doi.org/10.1051/eas:2005003")</f>
        <v>http://dx.doi.org/10.1051/eas:2005003</v>
      </c>
      <c r="BG710" t="s">
        <v>74</v>
      </c>
      <c r="BH710" t="s">
        <v>74</v>
      </c>
      <c r="BI710">
        <v>6</v>
      </c>
      <c r="BJ710" t="s">
        <v>10282</v>
      </c>
      <c r="BK710" t="s">
        <v>8890</v>
      </c>
      <c r="BL710" t="s">
        <v>10282</v>
      </c>
      <c r="BM710" t="s">
        <v>10283</v>
      </c>
      <c r="BN710" t="s">
        <v>74</v>
      </c>
      <c r="BO710" t="s">
        <v>74</v>
      </c>
      <c r="BP710" t="s">
        <v>74</v>
      </c>
      <c r="BQ710" t="s">
        <v>74</v>
      </c>
      <c r="BR710" t="s">
        <v>97</v>
      </c>
      <c r="BS710" t="s">
        <v>10284</v>
      </c>
      <c r="BT710" t="str">
        <f>HYPERLINK("https%3A%2F%2Fwww.webofscience.com%2Fwos%2Fwoscc%2Ffull-record%2FWOS:000231723200002","View Full Record in Web of Science")</f>
        <v>View Full Record in Web of Science</v>
      </c>
    </row>
    <row r="711" spans="1:72" x14ac:dyDescent="0.15">
      <c r="A711" t="s">
        <v>8867</v>
      </c>
      <c r="B711" t="s">
        <v>10285</v>
      </c>
      <c r="C711" t="s">
        <v>74</v>
      </c>
      <c r="D711" t="s">
        <v>10265</v>
      </c>
      <c r="E711" t="s">
        <v>74</v>
      </c>
      <c r="F711" t="s">
        <v>10285</v>
      </c>
      <c r="G711" t="s">
        <v>74</v>
      </c>
      <c r="H711" t="s">
        <v>74</v>
      </c>
      <c r="I711" t="s">
        <v>10286</v>
      </c>
      <c r="J711" t="s">
        <v>10287</v>
      </c>
      <c r="K711" t="s">
        <v>10288</v>
      </c>
      <c r="L711" t="s">
        <v>74</v>
      </c>
      <c r="M711" t="s">
        <v>77</v>
      </c>
      <c r="N711" t="s">
        <v>8873</v>
      </c>
      <c r="O711" t="s">
        <v>10269</v>
      </c>
      <c r="P711">
        <v>2004</v>
      </c>
      <c r="Q711" t="s">
        <v>3641</v>
      </c>
      <c r="R711" t="s">
        <v>74</v>
      </c>
      <c r="S711" t="s">
        <v>74</v>
      </c>
      <c r="T711" t="s">
        <v>74</v>
      </c>
      <c r="U711" t="s">
        <v>10289</v>
      </c>
      <c r="V711" t="s">
        <v>10290</v>
      </c>
      <c r="W711" t="s">
        <v>10272</v>
      </c>
      <c r="X711" t="s">
        <v>897</v>
      </c>
      <c r="Y711" t="s">
        <v>10291</v>
      </c>
      <c r="Z711" t="s">
        <v>10292</v>
      </c>
      <c r="AA711" t="s">
        <v>10293</v>
      </c>
      <c r="AB711" t="s">
        <v>10294</v>
      </c>
      <c r="AC711" t="s">
        <v>74</v>
      </c>
      <c r="AD711" t="s">
        <v>74</v>
      </c>
      <c r="AE711" t="s">
        <v>74</v>
      </c>
      <c r="AF711" t="s">
        <v>74</v>
      </c>
      <c r="AG711">
        <v>15</v>
      </c>
      <c r="AH711">
        <v>2</v>
      </c>
      <c r="AI711">
        <v>2</v>
      </c>
      <c r="AJ711">
        <v>0</v>
      </c>
      <c r="AK711">
        <v>0</v>
      </c>
      <c r="AL711" t="s">
        <v>10275</v>
      </c>
      <c r="AM711" t="s">
        <v>10276</v>
      </c>
      <c r="AN711" t="s">
        <v>10277</v>
      </c>
      <c r="AO711" t="s">
        <v>10278</v>
      </c>
      <c r="AP711" t="s">
        <v>74</v>
      </c>
      <c r="AQ711" t="s">
        <v>10279</v>
      </c>
      <c r="AR711" t="s">
        <v>10280</v>
      </c>
      <c r="AS711" t="s">
        <v>74</v>
      </c>
      <c r="AT711" t="s">
        <v>74</v>
      </c>
      <c r="AU711">
        <v>2005</v>
      </c>
      <c r="AV711">
        <v>14</v>
      </c>
      <c r="AW711" t="s">
        <v>74</v>
      </c>
      <c r="AX711" t="s">
        <v>74</v>
      </c>
      <c r="AY711" t="s">
        <v>74</v>
      </c>
      <c r="AZ711" t="s">
        <v>74</v>
      </c>
      <c r="BA711" t="s">
        <v>74</v>
      </c>
      <c r="BB711">
        <v>19</v>
      </c>
      <c r="BC711">
        <v>24</v>
      </c>
      <c r="BD711" t="s">
        <v>74</v>
      </c>
      <c r="BE711" t="s">
        <v>10295</v>
      </c>
      <c r="BF711" t="str">
        <f>HYPERLINK("http://dx.doi.org/10.1051/eas:2005005","http://dx.doi.org/10.1051/eas:2005005")</f>
        <v>http://dx.doi.org/10.1051/eas:2005005</v>
      </c>
      <c r="BG711" t="s">
        <v>74</v>
      </c>
      <c r="BH711" t="s">
        <v>74</v>
      </c>
      <c r="BI711">
        <v>6</v>
      </c>
      <c r="BJ711" t="s">
        <v>10282</v>
      </c>
      <c r="BK711" t="s">
        <v>8890</v>
      </c>
      <c r="BL711" t="s">
        <v>10282</v>
      </c>
      <c r="BM711" t="s">
        <v>10283</v>
      </c>
      <c r="BN711" t="s">
        <v>74</v>
      </c>
      <c r="BO711" t="s">
        <v>74</v>
      </c>
      <c r="BP711" t="s">
        <v>74</v>
      </c>
      <c r="BQ711" t="s">
        <v>74</v>
      </c>
      <c r="BR711" t="s">
        <v>97</v>
      </c>
      <c r="BS711" t="s">
        <v>10296</v>
      </c>
      <c r="BT711" t="str">
        <f>HYPERLINK("https%3A%2F%2Fwww.webofscience.com%2Fwos%2Fwoscc%2Ffull-record%2FWOS:000231723200004","View Full Record in Web of Science")</f>
        <v>View Full Record in Web of Science</v>
      </c>
    </row>
    <row r="712" spans="1:72" x14ac:dyDescent="0.15">
      <c r="A712" t="s">
        <v>8867</v>
      </c>
      <c r="B712" t="s">
        <v>10297</v>
      </c>
      <c r="C712" t="s">
        <v>74</v>
      </c>
      <c r="D712" t="s">
        <v>10265</v>
      </c>
      <c r="E712" t="s">
        <v>74</v>
      </c>
      <c r="F712" t="s">
        <v>10297</v>
      </c>
      <c r="G712" t="s">
        <v>74</v>
      </c>
      <c r="H712" t="s">
        <v>74</v>
      </c>
      <c r="I712" t="s">
        <v>10298</v>
      </c>
      <c r="J712" t="s">
        <v>10287</v>
      </c>
      <c r="K712" t="s">
        <v>10288</v>
      </c>
      <c r="L712" t="s">
        <v>74</v>
      </c>
      <c r="M712" t="s">
        <v>77</v>
      </c>
      <c r="N712" t="s">
        <v>8873</v>
      </c>
      <c r="O712" t="s">
        <v>10269</v>
      </c>
      <c r="P712">
        <v>2004</v>
      </c>
      <c r="Q712" t="s">
        <v>3641</v>
      </c>
      <c r="R712" t="s">
        <v>74</v>
      </c>
      <c r="S712" t="s">
        <v>74</v>
      </c>
      <c r="T712" t="s">
        <v>74</v>
      </c>
      <c r="U712" t="s">
        <v>10299</v>
      </c>
      <c r="V712" t="s">
        <v>10300</v>
      </c>
      <c r="W712" t="s">
        <v>10301</v>
      </c>
      <c r="X712" t="s">
        <v>10302</v>
      </c>
      <c r="Y712" t="s">
        <v>10303</v>
      </c>
      <c r="Z712" t="s">
        <v>10304</v>
      </c>
      <c r="AA712" t="s">
        <v>74</v>
      </c>
      <c r="AB712" t="s">
        <v>10305</v>
      </c>
      <c r="AC712" t="s">
        <v>74</v>
      </c>
      <c r="AD712" t="s">
        <v>74</v>
      </c>
      <c r="AE712" t="s">
        <v>74</v>
      </c>
      <c r="AF712" t="s">
        <v>74</v>
      </c>
      <c r="AG712">
        <v>12</v>
      </c>
      <c r="AH712">
        <v>2</v>
      </c>
      <c r="AI712">
        <v>2</v>
      </c>
      <c r="AJ712">
        <v>0</v>
      </c>
      <c r="AK712">
        <v>0</v>
      </c>
      <c r="AL712" t="s">
        <v>10275</v>
      </c>
      <c r="AM712" t="s">
        <v>10276</v>
      </c>
      <c r="AN712" t="s">
        <v>10277</v>
      </c>
      <c r="AO712" t="s">
        <v>10278</v>
      </c>
      <c r="AP712" t="s">
        <v>74</v>
      </c>
      <c r="AQ712" t="s">
        <v>10279</v>
      </c>
      <c r="AR712" t="s">
        <v>10280</v>
      </c>
      <c r="AS712" t="s">
        <v>74</v>
      </c>
      <c r="AT712" t="s">
        <v>74</v>
      </c>
      <c r="AU712">
        <v>2005</v>
      </c>
      <c r="AV712">
        <v>14</v>
      </c>
      <c r="AW712" t="s">
        <v>74</v>
      </c>
      <c r="AX712" t="s">
        <v>74</v>
      </c>
      <c r="AY712" t="s">
        <v>74</v>
      </c>
      <c r="AZ712" t="s">
        <v>74</v>
      </c>
      <c r="BA712" t="s">
        <v>74</v>
      </c>
      <c r="BB712">
        <v>25</v>
      </c>
      <c r="BC712">
        <v>30</v>
      </c>
      <c r="BD712" t="s">
        <v>74</v>
      </c>
      <c r="BE712" t="s">
        <v>10306</v>
      </c>
      <c r="BF712" t="str">
        <f>HYPERLINK("http://dx.doi.org/10.1051/eas:2005006","http://dx.doi.org/10.1051/eas:2005006")</f>
        <v>http://dx.doi.org/10.1051/eas:2005006</v>
      </c>
      <c r="BG712" t="s">
        <v>74</v>
      </c>
      <c r="BH712" t="s">
        <v>74</v>
      </c>
      <c r="BI712">
        <v>6</v>
      </c>
      <c r="BJ712" t="s">
        <v>10282</v>
      </c>
      <c r="BK712" t="s">
        <v>8890</v>
      </c>
      <c r="BL712" t="s">
        <v>10282</v>
      </c>
      <c r="BM712" t="s">
        <v>10283</v>
      </c>
      <c r="BN712" t="s">
        <v>74</v>
      </c>
      <c r="BO712" t="s">
        <v>74</v>
      </c>
      <c r="BP712" t="s">
        <v>74</v>
      </c>
      <c r="BQ712" t="s">
        <v>74</v>
      </c>
      <c r="BR712" t="s">
        <v>97</v>
      </c>
      <c r="BS712" t="s">
        <v>10307</v>
      </c>
      <c r="BT712" t="str">
        <f>HYPERLINK("https%3A%2F%2Fwww.webofscience.com%2Fwos%2Fwoscc%2Ffull-record%2FWOS:000231723200005","View Full Record in Web of Science")</f>
        <v>View Full Record in Web of Science</v>
      </c>
    </row>
    <row r="713" spans="1:72" x14ac:dyDescent="0.15">
      <c r="A713" t="s">
        <v>8867</v>
      </c>
      <c r="B713" t="s">
        <v>10308</v>
      </c>
      <c r="C713" t="s">
        <v>74</v>
      </c>
      <c r="D713" t="s">
        <v>10265</v>
      </c>
      <c r="E713" t="s">
        <v>74</v>
      </c>
      <c r="F713" t="s">
        <v>10308</v>
      </c>
      <c r="G713" t="s">
        <v>74</v>
      </c>
      <c r="H713" t="s">
        <v>74</v>
      </c>
      <c r="I713" t="s">
        <v>10309</v>
      </c>
      <c r="J713" t="s">
        <v>10267</v>
      </c>
      <c r="K713" t="s">
        <v>10268</v>
      </c>
      <c r="L713" t="s">
        <v>74</v>
      </c>
      <c r="M713" t="s">
        <v>77</v>
      </c>
      <c r="N713" t="s">
        <v>8873</v>
      </c>
      <c r="O713" t="s">
        <v>10269</v>
      </c>
      <c r="P713">
        <v>2004</v>
      </c>
      <c r="Q713" t="s">
        <v>3641</v>
      </c>
      <c r="R713" t="s">
        <v>74</v>
      </c>
      <c r="S713" t="s">
        <v>74</v>
      </c>
      <c r="T713" t="s">
        <v>74</v>
      </c>
      <c r="U713" t="s">
        <v>10310</v>
      </c>
      <c r="V713" t="s">
        <v>10311</v>
      </c>
      <c r="W713" t="s">
        <v>10312</v>
      </c>
      <c r="X713" t="s">
        <v>10313</v>
      </c>
      <c r="Y713" t="s">
        <v>10314</v>
      </c>
      <c r="Z713" t="s">
        <v>74</v>
      </c>
      <c r="AA713" t="s">
        <v>74</v>
      </c>
      <c r="AB713" t="s">
        <v>74</v>
      </c>
      <c r="AC713" t="s">
        <v>74</v>
      </c>
      <c r="AD713" t="s">
        <v>74</v>
      </c>
      <c r="AE713" t="s">
        <v>74</v>
      </c>
      <c r="AF713" t="s">
        <v>74</v>
      </c>
      <c r="AG713">
        <v>16</v>
      </c>
      <c r="AH713">
        <v>3</v>
      </c>
      <c r="AI713">
        <v>3</v>
      </c>
      <c r="AJ713">
        <v>0</v>
      </c>
      <c r="AK713">
        <v>2</v>
      </c>
      <c r="AL713" t="s">
        <v>10275</v>
      </c>
      <c r="AM713" t="s">
        <v>10276</v>
      </c>
      <c r="AN713" t="s">
        <v>10277</v>
      </c>
      <c r="AO713" t="s">
        <v>10278</v>
      </c>
      <c r="AP713" t="s">
        <v>74</v>
      </c>
      <c r="AQ713" t="s">
        <v>10279</v>
      </c>
      <c r="AR713" t="s">
        <v>10280</v>
      </c>
      <c r="AS713" t="s">
        <v>74</v>
      </c>
      <c r="AT713" t="s">
        <v>74</v>
      </c>
      <c r="AU713">
        <v>2005</v>
      </c>
      <c r="AV713">
        <v>14</v>
      </c>
      <c r="AW713" t="s">
        <v>74</v>
      </c>
      <c r="AX713" t="s">
        <v>74</v>
      </c>
      <c r="AY713" t="s">
        <v>74</v>
      </c>
      <c r="AZ713" t="s">
        <v>74</v>
      </c>
      <c r="BA713" t="s">
        <v>74</v>
      </c>
      <c r="BB713">
        <v>51</v>
      </c>
      <c r="BC713">
        <v>56</v>
      </c>
      <c r="BD713" t="s">
        <v>74</v>
      </c>
      <c r="BE713" t="s">
        <v>10315</v>
      </c>
      <c r="BF713" t="str">
        <f>HYPERLINK("http://dx.doi.org/10.1051/eas:2005009","http://dx.doi.org/10.1051/eas:2005009")</f>
        <v>http://dx.doi.org/10.1051/eas:2005009</v>
      </c>
      <c r="BG713" t="s">
        <v>74</v>
      </c>
      <c r="BH713" t="s">
        <v>74</v>
      </c>
      <c r="BI713">
        <v>6</v>
      </c>
      <c r="BJ713" t="s">
        <v>10282</v>
      </c>
      <c r="BK713" t="s">
        <v>8890</v>
      </c>
      <c r="BL713" t="s">
        <v>10282</v>
      </c>
      <c r="BM713" t="s">
        <v>10283</v>
      </c>
      <c r="BN713" t="s">
        <v>74</v>
      </c>
      <c r="BO713" t="s">
        <v>74</v>
      </c>
      <c r="BP713" t="s">
        <v>74</v>
      </c>
      <c r="BQ713" t="s">
        <v>74</v>
      </c>
      <c r="BR713" t="s">
        <v>97</v>
      </c>
      <c r="BS713" t="s">
        <v>10316</v>
      </c>
      <c r="BT713" t="str">
        <f>HYPERLINK("https%3A%2F%2Fwww.webofscience.com%2Fwos%2Fwoscc%2Ffull-record%2FWOS:000231723200008","View Full Record in Web of Science")</f>
        <v>View Full Record in Web of Science</v>
      </c>
    </row>
    <row r="714" spans="1:72" x14ac:dyDescent="0.15">
      <c r="A714" t="s">
        <v>8867</v>
      </c>
      <c r="B714" t="s">
        <v>10317</v>
      </c>
      <c r="C714" t="s">
        <v>74</v>
      </c>
      <c r="D714" t="s">
        <v>10265</v>
      </c>
      <c r="E714" t="s">
        <v>74</v>
      </c>
      <c r="F714" t="s">
        <v>10317</v>
      </c>
      <c r="G714" t="s">
        <v>74</v>
      </c>
      <c r="H714" t="s">
        <v>74</v>
      </c>
      <c r="I714" t="s">
        <v>10318</v>
      </c>
      <c r="J714" t="s">
        <v>10267</v>
      </c>
      <c r="K714" t="s">
        <v>10268</v>
      </c>
      <c r="L714" t="s">
        <v>74</v>
      </c>
      <c r="M714" t="s">
        <v>77</v>
      </c>
      <c r="N714" t="s">
        <v>8873</v>
      </c>
      <c r="O714" t="s">
        <v>10269</v>
      </c>
      <c r="P714">
        <v>2004</v>
      </c>
      <c r="Q714" t="s">
        <v>3641</v>
      </c>
      <c r="R714" t="s">
        <v>74</v>
      </c>
      <c r="S714" t="s">
        <v>74</v>
      </c>
      <c r="T714" t="s">
        <v>74</v>
      </c>
      <c r="U714" t="s">
        <v>8611</v>
      </c>
      <c r="V714" t="s">
        <v>10319</v>
      </c>
      <c r="W714" t="s">
        <v>10320</v>
      </c>
      <c r="X714" t="s">
        <v>10321</v>
      </c>
      <c r="Y714" t="s">
        <v>10322</v>
      </c>
      <c r="Z714" t="s">
        <v>74</v>
      </c>
      <c r="AA714" t="s">
        <v>74</v>
      </c>
      <c r="AB714" t="s">
        <v>74</v>
      </c>
      <c r="AC714" t="s">
        <v>74</v>
      </c>
      <c r="AD714" t="s">
        <v>74</v>
      </c>
      <c r="AE714" t="s">
        <v>74</v>
      </c>
      <c r="AF714" t="s">
        <v>74</v>
      </c>
      <c r="AG714">
        <v>8</v>
      </c>
      <c r="AH714">
        <v>2</v>
      </c>
      <c r="AI714">
        <v>2</v>
      </c>
      <c r="AJ714">
        <v>0</v>
      </c>
      <c r="AK714">
        <v>0</v>
      </c>
      <c r="AL714" t="s">
        <v>10275</v>
      </c>
      <c r="AM714" t="s">
        <v>10276</v>
      </c>
      <c r="AN714" t="s">
        <v>10277</v>
      </c>
      <c r="AO714" t="s">
        <v>10278</v>
      </c>
      <c r="AP714" t="s">
        <v>74</v>
      </c>
      <c r="AQ714" t="s">
        <v>10279</v>
      </c>
      <c r="AR714" t="s">
        <v>10280</v>
      </c>
      <c r="AS714" t="s">
        <v>74</v>
      </c>
      <c r="AT714" t="s">
        <v>74</v>
      </c>
      <c r="AU714">
        <v>2005</v>
      </c>
      <c r="AV714">
        <v>14</v>
      </c>
      <c r="AW714" t="s">
        <v>74</v>
      </c>
      <c r="AX714" t="s">
        <v>74</v>
      </c>
      <c r="AY714" t="s">
        <v>74</v>
      </c>
      <c r="AZ714" t="s">
        <v>74</v>
      </c>
      <c r="BA714" t="s">
        <v>74</v>
      </c>
      <c r="BB714">
        <v>69</v>
      </c>
      <c r="BC714">
        <v>73</v>
      </c>
      <c r="BD714" t="s">
        <v>74</v>
      </c>
      <c r="BE714" t="s">
        <v>10323</v>
      </c>
      <c r="BF714" t="str">
        <f>HYPERLINK("http://dx.doi.org/10.1051/eas:2005011","http://dx.doi.org/10.1051/eas:2005011")</f>
        <v>http://dx.doi.org/10.1051/eas:2005011</v>
      </c>
      <c r="BG714" t="s">
        <v>74</v>
      </c>
      <c r="BH714" t="s">
        <v>74</v>
      </c>
      <c r="BI714">
        <v>5</v>
      </c>
      <c r="BJ714" t="s">
        <v>10282</v>
      </c>
      <c r="BK714" t="s">
        <v>8890</v>
      </c>
      <c r="BL714" t="s">
        <v>10282</v>
      </c>
      <c r="BM714" t="s">
        <v>10283</v>
      </c>
      <c r="BN714" t="s">
        <v>74</v>
      </c>
      <c r="BO714" t="s">
        <v>74</v>
      </c>
      <c r="BP714" t="s">
        <v>74</v>
      </c>
      <c r="BQ714" t="s">
        <v>74</v>
      </c>
      <c r="BR714" t="s">
        <v>97</v>
      </c>
      <c r="BS714" t="s">
        <v>10324</v>
      </c>
      <c r="BT714" t="str">
        <f>HYPERLINK("https%3A%2F%2Fwww.webofscience.com%2Fwos%2Fwoscc%2Ffull-record%2FWOS:000231723200010","View Full Record in Web of Science")</f>
        <v>View Full Record in Web of Science</v>
      </c>
    </row>
    <row r="715" spans="1:72" x14ac:dyDescent="0.15">
      <c r="A715" t="s">
        <v>8867</v>
      </c>
      <c r="B715" t="s">
        <v>10325</v>
      </c>
      <c r="C715" t="s">
        <v>74</v>
      </c>
      <c r="D715" t="s">
        <v>10265</v>
      </c>
      <c r="E715" t="s">
        <v>74</v>
      </c>
      <c r="F715" t="s">
        <v>10325</v>
      </c>
      <c r="G715" t="s">
        <v>74</v>
      </c>
      <c r="H715" t="s">
        <v>74</v>
      </c>
      <c r="I715" t="s">
        <v>10326</v>
      </c>
      <c r="J715" t="s">
        <v>10287</v>
      </c>
      <c r="K715" t="s">
        <v>10288</v>
      </c>
      <c r="L715" t="s">
        <v>74</v>
      </c>
      <c r="M715" t="s">
        <v>77</v>
      </c>
      <c r="N715" t="s">
        <v>8873</v>
      </c>
      <c r="O715" t="s">
        <v>10269</v>
      </c>
      <c r="P715">
        <v>2004</v>
      </c>
      <c r="Q715" t="s">
        <v>3641</v>
      </c>
      <c r="R715" t="s">
        <v>74</v>
      </c>
      <c r="S715" t="s">
        <v>74</v>
      </c>
      <c r="T715" t="s">
        <v>74</v>
      </c>
      <c r="U715" t="s">
        <v>10327</v>
      </c>
      <c r="V715" t="s">
        <v>10328</v>
      </c>
      <c r="W715" t="s">
        <v>10329</v>
      </c>
      <c r="X715" t="s">
        <v>5603</v>
      </c>
      <c r="Y715" t="s">
        <v>10330</v>
      </c>
      <c r="Z715" t="s">
        <v>10331</v>
      </c>
      <c r="AA715" t="s">
        <v>74</v>
      </c>
      <c r="AB715" t="s">
        <v>74</v>
      </c>
      <c r="AC715" t="s">
        <v>74</v>
      </c>
      <c r="AD715" t="s">
        <v>74</v>
      </c>
      <c r="AE715" t="s">
        <v>74</v>
      </c>
      <c r="AF715" t="s">
        <v>74</v>
      </c>
      <c r="AG715">
        <v>25</v>
      </c>
      <c r="AH715">
        <v>4</v>
      </c>
      <c r="AI715">
        <v>4</v>
      </c>
      <c r="AJ715">
        <v>0</v>
      </c>
      <c r="AK715">
        <v>0</v>
      </c>
      <c r="AL715" t="s">
        <v>10275</v>
      </c>
      <c r="AM715" t="s">
        <v>10276</v>
      </c>
      <c r="AN715" t="s">
        <v>10277</v>
      </c>
      <c r="AO715" t="s">
        <v>10278</v>
      </c>
      <c r="AP715" t="s">
        <v>74</v>
      </c>
      <c r="AQ715" t="s">
        <v>10279</v>
      </c>
      <c r="AR715" t="s">
        <v>10280</v>
      </c>
      <c r="AS715" t="s">
        <v>74</v>
      </c>
      <c r="AT715" t="s">
        <v>74</v>
      </c>
      <c r="AU715">
        <v>2005</v>
      </c>
      <c r="AV715">
        <v>14</v>
      </c>
      <c r="AW715" t="s">
        <v>74</v>
      </c>
      <c r="AX715" t="s">
        <v>74</v>
      </c>
      <c r="AY715" t="s">
        <v>74</v>
      </c>
      <c r="AZ715" t="s">
        <v>74</v>
      </c>
      <c r="BA715" t="s">
        <v>74</v>
      </c>
      <c r="BB715">
        <v>147</v>
      </c>
      <c r="BC715">
        <v>154</v>
      </c>
      <c r="BD715" t="s">
        <v>74</v>
      </c>
      <c r="BE715" t="s">
        <v>10332</v>
      </c>
      <c r="BF715" t="str">
        <f>HYPERLINK("http://dx.doi.org/10.1051/eas:2005023","http://dx.doi.org/10.1051/eas:2005023")</f>
        <v>http://dx.doi.org/10.1051/eas:2005023</v>
      </c>
      <c r="BG715" t="s">
        <v>74</v>
      </c>
      <c r="BH715" t="s">
        <v>74</v>
      </c>
      <c r="BI715">
        <v>8</v>
      </c>
      <c r="BJ715" t="s">
        <v>10282</v>
      </c>
      <c r="BK715" t="s">
        <v>8890</v>
      </c>
      <c r="BL715" t="s">
        <v>10282</v>
      </c>
      <c r="BM715" t="s">
        <v>10283</v>
      </c>
      <c r="BN715" t="s">
        <v>74</v>
      </c>
      <c r="BO715" t="s">
        <v>74</v>
      </c>
      <c r="BP715" t="s">
        <v>74</v>
      </c>
      <c r="BQ715" t="s">
        <v>74</v>
      </c>
      <c r="BR715" t="s">
        <v>97</v>
      </c>
      <c r="BS715" t="s">
        <v>10333</v>
      </c>
      <c r="BT715" t="str">
        <f>HYPERLINK("https%3A%2F%2Fwww.webofscience.com%2Fwos%2Fwoscc%2Ffull-record%2FWOS:000231723200022","View Full Record in Web of Science")</f>
        <v>View Full Record in Web of Science</v>
      </c>
    </row>
    <row r="716" spans="1:72" x14ac:dyDescent="0.15">
      <c r="A716" t="s">
        <v>8867</v>
      </c>
      <c r="B716" t="s">
        <v>10334</v>
      </c>
      <c r="C716" t="s">
        <v>74</v>
      </c>
      <c r="D716" t="s">
        <v>10265</v>
      </c>
      <c r="E716" t="s">
        <v>74</v>
      </c>
      <c r="F716" t="s">
        <v>10334</v>
      </c>
      <c r="G716" t="s">
        <v>74</v>
      </c>
      <c r="H716" t="s">
        <v>74</v>
      </c>
      <c r="I716" t="s">
        <v>10335</v>
      </c>
      <c r="J716" t="s">
        <v>10267</v>
      </c>
      <c r="K716" t="s">
        <v>10268</v>
      </c>
      <c r="L716" t="s">
        <v>74</v>
      </c>
      <c r="M716" t="s">
        <v>77</v>
      </c>
      <c r="N716" t="s">
        <v>8873</v>
      </c>
      <c r="O716" t="s">
        <v>10269</v>
      </c>
      <c r="P716">
        <v>2004</v>
      </c>
      <c r="Q716" t="s">
        <v>3641</v>
      </c>
      <c r="R716" t="s">
        <v>74</v>
      </c>
      <c r="S716" t="s">
        <v>74</v>
      </c>
      <c r="T716" t="s">
        <v>74</v>
      </c>
      <c r="U716" t="s">
        <v>74</v>
      </c>
      <c r="V716" t="s">
        <v>10336</v>
      </c>
      <c r="W716" t="s">
        <v>10337</v>
      </c>
      <c r="X716" t="s">
        <v>10338</v>
      </c>
      <c r="Y716" t="s">
        <v>10339</v>
      </c>
      <c r="Z716" t="s">
        <v>74</v>
      </c>
      <c r="AA716" t="s">
        <v>10340</v>
      </c>
      <c r="AB716" t="s">
        <v>10341</v>
      </c>
      <c r="AC716" t="s">
        <v>74</v>
      </c>
      <c r="AD716" t="s">
        <v>74</v>
      </c>
      <c r="AE716" t="s">
        <v>74</v>
      </c>
      <c r="AF716" t="s">
        <v>74</v>
      </c>
      <c r="AG716">
        <v>6</v>
      </c>
      <c r="AH716">
        <v>3</v>
      </c>
      <c r="AI716">
        <v>3</v>
      </c>
      <c r="AJ716">
        <v>0</v>
      </c>
      <c r="AK716">
        <v>0</v>
      </c>
      <c r="AL716" t="s">
        <v>10275</v>
      </c>
      <c r="AM716" t="s">
        <v>10276</v>
      </c>
      <c r="AN716" t="s">
        <v>10277</v>
      </c>
      <c r="AO716" t="s">
        <v>10278</v>
      </c>
      <c r="AP716" t="s">
        <v>74</v>
      </c>
      <c r="AQ716" t="s">
        <v>10279</v>
      </c>
      <c r="AR716" t="s">
        <v>10280</v>
      </c>
      <c r="AS716" t="s">
        <v>74</v>
      </c>
      <c r="AT716" t="s">
        <v>74</v>
      </c>
      <c r="AU716">
        <v>2005</v>
      </c>
      <c r="AV716">
        <v>14</v>
      </c>
      <c r="AW716" t="s">
        <v>74</v>
      </c>
      <c r="AX716" t="s">
        <v>74</v>
      </c>
      <c r="AY716" t="s">
        <v>74</v>
      </c>
      <c r="AZ716" t="s">
        <v>74</v>
      </c>
      <c r="BA716" t="s">
        <v>74</v>
      </c>
      <c r="BB716">
        <v>181</v>
      </c>
      <c r="BC716">
        <v>186</v>
      </c>
      <c r="BD716" t="s">
        <v>74</v>
      </c>
      <c r="BE716" t="s">
        <v>10342</v>
      </c>
      <c r="BF716" t="str">
        <f>HYPERLINK("http://dx.doi.org/10.1051/eas:2005028","http://dx.doi.org/10.1051/eas:2005028")</f>
        <v>http://dx.doi.org/10.1051/eas:2005028</v>
      </c>
      <c r="BG716" t="s">
        <v>74</v>
      </c>
      <c r="BH716" t="s">
        <v>74</v>
      </c>
      <c r="BI716">
        <v>6</v>
      </c>
      <c r="BJ716" t="s">
        <v>10282</v>
      </c>
      <c r="BK716" t="s">
        <v>8890</v>
      </c>
      <c r="BL716" t="s">
        <v>10282</v>
      </c>
      <c r="BM716" t="s">
        <v>10283</v>
      </c>
      <c r="BN716" t="s">
        <v>74</v>
      </c>
      <c r="BO716" t="s">
        <v>74</v>
      </c>
      <c r="BP716" t="s">
        <v>74</v>
      </c>
      <c r="BQ716" t="s">
        <v>74</v>
      </c>
      <c r="BR716" t="s">
        <v>97</v>
      </c>
      <c r="BS716" t="s">
        <v>10343</v>
      </c>
      <c r="BT716" t="str">
        <f>HYPERLINK("https%3A%2F%2Fwww.webofscience.com%2Fwos%2Fwoscc%2Ffull-record%2FWOS:000231723200027","View Full Record in Web of Science")</f>
        <v>View Full Record in Web of Science</v>
      </c>
    </row>
    <row r="717" spans="1:72" x14ac:dyDescent="0.15">
      <c r="A717" t="s">
        <v>8867</v>
      </c>
      <c r="B717" t="s">
        <v>10344</v>
      </c>
      <c r="C717" t="s">
        <v>74</v>
      </c>
      <c r="D717" t="s">
        <v>10265</v>
      </c>
      <c r="E717" t="s">
        <v>74</v>
      </c>
      <c r="F717" t="s">
        <v>10344</v>
      </c>
      <c r="G717" t="s">
        <v>74</v>
      </c>
      <c r="H717" t="s">
        <v>74</v>
      </c>
      <c r="I717" t="s">
        <v>10345</v>
      </c>
      <c r="J717" t="s">
        <v>10267</v>
      </c>
      <c r="K717" t="s">
        <v>10268</v>
      </c>
      <c r="L717" t="s">
        <v>74</v>
      </c>
      <c r="M717" t="s">
        <v>77</v>
      </c>
      <c r="N717" t="s">
        <v>8873</v>
      </c>
      <c r="O717" t="s">
        <v>10269</v>
      </c>
      <c r="P717">
        <v>2004</v>
      </c>
      <c r="Q717" t="s">
        <v>3641</v>
      </c>
      <c r="R717" t="s">
        <v>74</v>
      </c>
      <c r="S717" t="s">
        <v>74</v>
      </c>
      <c r="T717" t="s">
        <v>74</v>
      </c>
      <c r="U717" t="s">
        <v>10346</v>
      </c>
      <c r="V717" t="s">
        <v>10347</v>
      </c>
      <c r="W717" t="s">
        <v>10348</v>
      </c>
      <c r="X717" t="s">
        <v>10349</v>
      </c>
      <c r="Y717" t="s">
        <v>10350</v>
      </c>
      <c r="Z717" t="s">
        <v>74</v>
      </c>
      <c r="AA717" t="s">
        <v>74</v>
      </c>
      <c r="AB717" t="s">
        <v>74</v>
      </c>
      <c r="AC717" t="s">
        <v>74</v>
      </c>
      <c r="AD717" t="s">
        <v>74</v>
      </c>
      <c r="AE717" t="s">
        <v>74</v>
      </c>
      <c r="AF717" t="s">
        <v>74</v>
      </c>
      <c r="AG717">
        <v>8</v>
      </c>
      <c r="AH717">
        <v>0</v>
      </c>
      <c r="AI717">
        <v>0</v>
      </c>
      <c r="AJ717">
        <v>0</v>
      </c>
      <c r="AK717">
        <v>0</v>
      </c>
      <c r="AL717" t="s">
        <v>10275</v>
      </c>
      <c r="AM717" t="s">
        <v>10276</v>
      </c>
      <c r="AN717" t="s">
        <v>10277</v>
      </c>
      <c r="AO717" t="s">
        <v>10278</v>
      </c>
      <c r="AP717" t="s">
        <v>74</v>
      </c>
      <c r="AQ717" t="s">
        <v>10279</v>
      </c>
      <c r="AR717" t="s">
        <v>10280</v>
      </c>
      <c r="AS717" t="s">
        <v>74</v>
      </c>
      <c r="AT717" t="s">
        <v>74</v>
      </c>
      <c r="AU717">
        <v>2005</v>
      </c>
      <c r="AV717">
        <v>14</v>
      </c>
      <c r="AW717" t="s">
        <v>74</v>
      </c>
      <c r="AX717" t="s">
        <v>74</v>
      </c>
      <c r="AY717" t="s">
        <v>74</v>
      </c>
      <c r="AZ717" t="s">
        <v>74</v>
      </c>
      <c r="BA717" t="s">
        <v>74</v>
      </c>
      <c r="BB717">
        <v>205</v>
      </c>
      <c r="BC717">
        <v>209</v>
      </c>
      <c r="BD717" t="s">
        <v>74</v>
      </c>
      <c r="BE717" t="s">
        <v>10351</v>
      </c>
      <c r="BF717" t="str">
        <f>HYPERLINK("http://dx.doi.org/10.1051/eas:2005032","http://dx.doi.org/10.1051/eas:2005032")</f>
        <v>http://dx.doi.org/10.1051/eas:2005032</v>
      </c>
      <c r="BG717" t="s">
        <v>74</v>
      </c>
      <c r="BH717" t="s">
        <v>74</v>
      </c>
      <c r="BI717">
        <v>5</v>
      </c>
      <c r="BJ717" t="s">
        <v>10282</v>
      </c>
      <c r="BK717" t="s">
        <v>8890</v>
      </c>
      <c r="BL717" t="s">
        <v>10282</v>
      </c>
      <c r="BM717" t="s">
        <v>10283</v>
      </c>
      <c r="BN717" t="s">
        <v>74</v>
      </c>
      <c r="BO717" t="s">
        <v>74</v>
      </c>
      <c r="BP717" t="s">
        <v>74</v>
      </c>
      <c r="BQ717" t="s">
        <v>74</v>
      </c>
      <c r="BR717" t="s">
        <v>97</v>
      </c>
      <c r="BS717" t="s">
        <v>10352</v>
      </c>
      <c r="BT717" t="str">
        <f>HYPERLINK("https%3A%2F%2Fwww.webofscience.com%2Fwos%2Fwoscc%2Ffull-record%2FWOS:000231723200031","View Full Record in Web of Science")</f>
        <v>View Full Record in Web of Science</v>
      </c>
    </row>
    <row r="718" spans="1:72" x14ac:dyDescent="0.15">
      <c r="A718" t="s">
        <v>8867</v>
      </c>
      <c r="B718" t="s">
        <v>10353</v>
      </c>
      <c r="C718" t="s">
        <v>74</v>
      </c>
      <c r="D718" t="s">
        <v>10265</v>
      </c>
      <c r="E718" t="s">
        <v>74</v>
      </c>
      <c r="F718" t="s">
        <v>10353</v>
      </c>
      <c r="G718" t="s">
        <v>74</v>
      </c>
      <c r="H718" t="s">
        <v>74</v>
      </c>
      <c r="I718" t="s">
        <v>10354</v>
      </c>
      <c r="J718" t="s">
        <v>10267</v>
      </c>
      <c r="K718" t="s">
        <v>10268</v>
      </c>
      <c r="L718" t="s">
        <v>74</v>
      </c>
      <c r="M718" t="s">
        <v>77</v>
      </c>
      <c r="N718" t="s">
        <v>8873</v>
      </c>
      <c r="O718" t="s">
        <v>10269</v>
      </c>
      <c r="P718">
        <v>2004</v>
      </c>
      <c r="Q718" t="s">
        <v>3641</v>
      </c>
      <c r="R718" t="s">
        <v>74</v>
      </c>
      <c r="S718" t="s">
        <v>74</v>
      </c>
      <c r="T718" t="s">
        <v>74</v>
      </c>
      <c r="U718" t="s">
        <v>10299</v>
      </c>
      <c r="V718" t="s">
        <v>10355</v>
      </c>
      <c r="W718" t="s">
        <v>10356</v>
      </c>
      <c r="X718" t="s">
        <v>74</v>
      </c>
      <c r="Y718" t="s">
        <v>10357</v>
      </c>
      <c r="Z718" t="s">
        <v>74</v>
      </c>
      <c r="AA718" t="s">
        <v>74</v>
      </c>
      <c r="AB718" t="s">
        <v>10358</v>
      </c>
      <c r="AC718" t="s">
        <v>74</v>
      </c>
      <c r="AD718" t="s">
        <v>74</v>
      </c>
      <c r="AE718" t="s">
        <v>74</v>
      </c>
      <c r="AF718" t="s">
        <v>74</v>
      </c>
      <c r="AG718">
        <v>5</v>
      </c>
      <c r="AH718">
        <v>2</v>
      </c>
      <c r="AI718">
        <v>2</v>
      </c>
      <c r="AJ718">
        <v>0</v>
      </c>
      <c r="AK718">
        <v>0</v>
      </c>
      <c r="AL718" t="s">
        <v>10275</v>
      </c>
      <c r="AM718" t="s">
        <v>10276</v>
      </c>
      <c r="AN718" t="s">
        <v>10277</v>
      </c>
      <c r="AO718" t="s">
        <v>10278</v>
      </c>
      <c r="AP718" t="s">
        <v>74</v>
      </c>
      <c r="AQ718" t="s">
        <v>10279</v>
      </c>
      <c r="AR718" t="s">
        <v>10280</v>
      </c>
      <c r="AS718" t="s">
        <v>74</v>
      </c>
      <c r="AT718" t="s">
        <v>74</v>
      </c>
      <c r="AU718">
        <v>2005</v>
      </c>
      <c r="AV718">
        <v>14</v>
      </c>
      <c r="AW718" t="s">
        <v>74</v>
      </c>
      <c r="AX718" t="s">
        <v>74</v>
      </c>
      <c r="AY718" t="s">
        <v>74</v>
      </c>
      <c r="AZ718" t="s">
        <v>74</v>
      </c>
      <c r="BA718" t="s">
        <v>74</v>
      </c>
      <c r="BB718">
        <v>219</v>
      </c>
      <c r="BC718">
        <v>224</v>
      </c>
      <c r="BD718" t="s">
        <v>74</v>
      </c>
      <c r="BE718" t="s">
        <v>10359</v>
      </c>
      <c r="BF718" t="str">
        <f>HYPERLINK("http://dx.doi.org/10.1051/eas:2005034","http://dx.doi.org/10.1051/eas:2005034")</f>
        <v>http://dx.doi.org/10.1051/eas:2005034</v>
      </c>
      <c r="BG718" t="s">
        <v>74</v>
      </c>
      <c r="BH718" t="s">
        <v>74</v>
      </c>
      <c r="BI718">
        <v>6</v>
      </c>
      <c r="BJ718" t="s">
        <v>10282</v>
      </c>
      <c r="BK718" t="s">
        <v>8890</v>
      </c>
      <c r="BL718" t="s">
        <v>10282</v>
      </c>
      <c r="BM718" t="s">
        <v>10283</v>
      </c>
      <c r="BN718" t="s">
        <v>74</v>
      </c>
      <c r="BO718" t="s">
        <v>143</v>
      </c>
      <c r="BP718" t="s">
        <v>74</v>
      </c>
      <c r="BQ718" t="s">
        <v>74</v>
      </c>
      <c r="BR718" t="s">
        <v>97</v>
      </c>
      <c r="BS718" t="s">
        <v>10360</v>
      </c>
      <c r="BT718" t="str">
        <f>HYPERLINK("https%3A%2F%2Fwww.webofscience.com%2Fwos%2Fwoscc%2Ffull-record%2FWOS:000231723200033","View Full Record in Web of Science")</f>
        <v>View Full Record in Web of Science</v>
      </c>
    </row>
    <row r="719" spans="1:72" x14ac:dyDescent="0.15">
      <c r="A719" t="s">
        <v>8867</v>
      </c>
      <c r="B719" t="s">
        <v>10361</v>
      </c>
      <c r="C719" t="s">
        <v>74</v>
      </c>
      <c r="D719" t="s">
        <v>10265</v>
      </c>
      <c r="E719" t="s">
        <v>74</v>
      </c>
      <c r="F719" t="s">
        <v>10361</v>
      </c>
      <c r="G719" t="s">
        <v>74</v>
      </c>
      <c r="H719" t="s">
        <v>74</v>
      </c>
      <c r="I719" t="s">
        <v>10362</v>
      </c>
      <c r="J719" t="s">
        <v>10267</v>
      </c>
      <c r="K719" t="s">
        <v>10268</v>
      </c>
      <c r="L719" t="s">
        <v>74</v>
      </c>
      <c r="M719" t="s">
        <v>77</v>
      </c>
      <c r="N719" t="s">
        <v>8873</v>
      </c>
      <c r="O719" t="s">
        <v>10269</v>
      </c>
      <c r="P719">
        <v>2004</v>
      </c>
      <c r="Q719" t="s">
        <v>3641</v>
      </c>
      <c r="R719" t="s">
        <v>74</v>
      </c>
      <c r="S719" t="s">
        <v>74</v>
      </c>
      <c r="T719" t="s">
        <v>74</v>
      </c>
      <c r="U719" t="s">
        <v>10363</v>
      </c>
      <c r="V719" t="s">
        <v>10364</v>
      </c>
      <c r="W719" t="s">
        <v>10365</v>
      </c>
      <c r="X719" t="s">
        <v>10366</v>
      </c>
      <c r="Y719" t="s">
        <v>10367</v>
      </c>
      <c r="Z719" t="s">
        <v>74</v>
      </c>
      <c r="AA719" t="s">
        <v>10368</v>
      </c>
      <c r="AB719" t="s">
        <v>10369</v>
      </c>
      <c r="AC719" t="s">
        <v>74</v>
      </c>
      <c r="AD719" t="s">
        <v>74</v>
      </c>
      <c r="AE719" t="s">
        <v>74</v>
      </c>
      <c r="AF719" t="s">
        <v>74</v>
      </c>
      <c r="AG719">
        <v>12</v>
      </c>
      <c r="AH719">
        <v>0</v>
      </c>
      <c r="AI719">
        <v>0</v>
      </c>
      <c r="AJ719">
        <v>0</v>
      </c>
      <c r="AK719">
        <v>0</v>
      </c>
      <c r="AL719" t="s">
        <v>10275</v>
      </c>
      <c r="AM719" t="s">
        <v>10276</v>
      </c>
      <c r="AN719" t="s">
        <v>10277</v>
      </c>
      <c r="AO719" t="s">
        <v>10278</v>
      </c>
      <c r="AP719" t="s">
        <v>74</v>
      </c>
      <c r="AQ719" t="s">
        <v>10279</v>
      </c>
      <c r="AR719" t="s">
        <v>10280</v>
      </c>
      <c r="AS719" t="s">
        <v>74</v>
      </c>
      <c r="AT719" t="s">
        <v>74</v>
      </c>
      <c r="AU719">
        <v>2005</v>
      </c>
      <c r="AV719">
        <v>14</v>
      </c>
      <c r="AW719" t="s">
        <v>74</v>
      </c>
      <c r="AX719" t="s">
        <v>74</v>
      </c>
      <c r="AY719" t="s">
        <v>74</v>
      </c>
      <c r="AZ719" t="s">
        <v>74</v>
      </c>
      <c r="BA719" t="s">
        <v>74</v>
      </c>
      <c r="BB719">
        <v>239</v>
      </c>
      <c r="BC719">
        <v>244</v>
      </c>
      <c r="BD719" t="s">
        <v>74</v>
      </c>
      <c r="BE719" t="s">
        <v>10370</v>
      </c>
      <c r="BF719" t="str">
        <f>HYPERLINK("http://dx.doi.org/10.1051/eas:2005037","http://dx.doi.org/10.1051/eas:2005037")</f>
        <v>http://dx.doi.org/10.1051/eas:2005037</v>
      </c>
      <c r="BG719" t="s">
        <v>74</v>
      </c>
      <c r="BH719" t="s">
        <v>74</v>
      </c>
      <c r="BI719">
        <v>6</v>
      </c>
      <c r="BJ719" t="s">
        <v>10282</v>
      </c>
      <c r="BK719" t="s">
        <v>8890</v>
      </c>
      <c r="BL719" t="s">
        <v>10282</v>
      </c>
      <c r="BM719" t="s">
        <v>10283</v>
      </c>
      <c r="BN719" t="s">
        <v>74</v>
      </c>
      <c r="BO719" t="s">
        <v>74</v>
      </c>
      <c r="BP719" t="s">
        <v>74</v>
      </c>
      <c r="BQ719" t="s">
        <v>74</v>
      </c>
      <c r="BR719" t="s">
        <v>97</v>
      </c>
      <c r="BS719" t="s">
        <v>10371</v>
      </c>
      <c r="BT719" t="str">
        <f>HYPERLINK("https%3A%2F%2Fwww.webofscience.com%2Fwos%2Fwoscc%2Ffull-record%2FWOS:000231723200036","View Full Record in Web of Science")</f>
        <v>View Full Record in Web of Science</v>
      </c>
    </row>
    <row r="720" spans="1:72" x14ac:dyDescent="0.15">
      <c r="A720" t="s">
        <v>8867</v>
      </c>
      <c r="B720" t="s">
        <v>10372</v>
      </c>
      <c r="C720" t="s">
        <v>74</v>
      </c>
      <c r="D720" t="s">
        <v>10265</v>
      </c>
      <c r="E720" t="s">
        <v>74</v>
      </c>
      <c r="F720" t="s">
        <v>10372</v>
      </c>
      <c r="G720" t="s">
        <v>74</v>
      </c>
      <c r="H720" t="s">
        <v>74</v>
      </c>
      <c r="I720" t="s">
        <v>10373</v>
      </c>
      <c r="J720" t="s">
        <v>10287</v>
      </c>
      <c r="K720" t="s">
        <v>10288</v>
      </c>
      <c r="L720" t="s">
        <v>74</v>
      </c>
      <c r="M720" t="s">
        <v>77</v>
      </c>
      <c r="N720" t="s">
        <v>8873</v>
      </c>
      <c r="O720" t="s">
        <v>10269</v>
      </c>
      <c r="P720">
        <v>2004</v>
      </c>
      <c r="Q720" t="s">
        <v>3641</v>
      </c>
      <c r="R720" t="s">
        <v>74</v>
      </c>
      <c r="S720" t="s">
        <v>74</v>
      </c>
      <c r="T720" t="s">
        <v>74</v>
      </c>
      <c r="U720" t="s">
        <v>10374</v>
      </c>
      <c r="V720" t="s">
        <v>10375</v>
      </c>
      <c r="W720" t="s">
        <v>10376</v>
      </c>
      <c r="X720" t="s">
        <v>10366</v>
      </c>
      <c r="Y720" t="s">
        <v>10377</v>
      </c>
      <c r="Z720" t="s">
        <v>10378</v>
      </c>
      <c r="AA720" t="s">
        <v>10379</v>
      </c>
      <c r="AB720" t="s">
        <v>10380</v>
      </c>
      <c r="AC720" t="s">
        <v>74</v>
      </c>
      <c r="AD720" t="s">
        <v>74</v>
      </c>
      <c r="AE720" t="s">
        <v>74</v>
      </c>
      <c r="AF720" t="s">
        <v>74</v>
      </c>
      <c r="AG720">
        <v>14</v>
      </c>
      <c r="AH720">
        <v>0</v>
      </c>
      <c r="AI720">
        <v>0</v>
      </c>
      <c r="AJ720">
        <v>0</v>
      </c>
      <c r="AK720">
        <v>0</v>
      </c>
      <c r="AL720" t="s">
        <v>10275</v>
      </c>
      <c r="AM720" t="s">
        <v>10276</v>
      </c>
      <c r="AN720" t="s">
        <v>10277</v>
      </c>
      <c r="AO720" t="s">
        <v>10278</v>
      </c>
      <c r="AP720" t="s">
        <v>74</v>
      </c>
      <c r="AQ720" t="s">
        <v>10279</v>
      </c>
      <c r="AR720" t="s">
        <v>10280</v>
      </c>
      <c r="AS720" t="s">
        <v>74</v>
      </c>
      <c r="AT720" t="s">
        <v>74</v>
      </c>
      <c r="AU720">
        <v>2005</v>
      </c>
      <c r="AV720">
        <v>14</v>
      </c>
      <c r="AW720" t="s">
        <v>74</v>
      </c>
      <c r="AX720" t="s">
        <v>74</v>
      </c>
      <c r="AY720" t="s">
        <v>74</v>
      </c>
      <c r="AZ720" t="s">
        <v>74</v>
      </c>
      <c r="BA720" t="s">
        <v>74</v>
      </c>
      <c r="BB720">
        <v>263</v>
      </c>
      <c r="BC720">
        <v>268</v>
      </c>
      <c r="BD720" t="s">
        <v>74</v>
      </c>
      <c r="BE720" t="s">
        <v>10381</v>
      </c>
      <c r="BF720" t="str">
        <f>HYPERLINK("http://dx.doi.org/10.1051/eas:2005041","http://dx.doi.org/10.1051/eas:2005041")</f>
        <v>http://dx.doi.org/10.1051/eas:2005041</v>
      </c>
      <c r="BG720" t="s">
        <v>74</v>
      </c>
      <c r="BH720" t="s">
        <v>74</v>
      </c>
      <c r="BI720">
        <v>6</v>
      </c>
      <c r="BJ720" t="s">
        <v>10282</v>
      </c>
      <c r="BK720" t="s">
        <v>8890</v>
      </c>
      <c r="BL720" t="s">
        <v>10282</v>
      </c>
      <c r="BM720" t="s">
        <v>10283</v>
      </c>
      <c r="BN720" t="s">
        <v>74</v>
      </c>
      <c r="BO720" t="s">
        <v>74</v>
      </c>
      <c r="BP720" t="s">
        <v>74</v>
      </c>
      <c r="BQ720" t="s">
        <v>74</v>
      </c>
      <c r="BR720" t="s">
        <v>97</v>
      </c>
      <c r="BS720" t="s">
        <v>10382</v>
      </c>
      <c r="BT720" t="str">
        <f>HYPERLINK("https%3A%2F%2Fwww.webofscience.com%2Fwos%2Fwoscc%2Ffull-record%2FWOS:000231723200040","View Full Record in Web of Science")</f>
        <v>View Full Record in Web of Science</v>
      </c>
    </row>
    <row r="721" spans="1:72" x14ac:dyDescent="0.15">
      <c r="A721" t="s">
        <v>8867</v>
      </c>
      <c r="B721" t="s">
        <v>10383</v>
      </c>
      <c r="C721" t="s">
        <v>74</v>
      </c>
      <c r="D721" t="s">
        <v>10265</v>
      </c>
      <c r="E721" t="s">
        <v>74</v>
      </c>
      <c r="F721" t="s">
        <v>10383</v>
      </c>
      <c r="G721" t="s">
        <v>74</v>
      </c>
      <c r="H721" t="s">
        <v>74</v>
      </c>
      <c r="I721" t="s">
        <v>10384</v>
      </c>
      <c r="J721" t="s">
        <v>10267</v>
      </c>
      <c r="K721" t="s">
        <v>10268</v>
      </c>
      <c r="L721" t="s">
        <v>74</v>
      </c>
      <c r="M721" t="s">
        <v>77</v>
      </c>
      <c r="N721" t="s">
        <v>8873</v>
      </c>
      <c r="O721" t="s">
        <v>10269</v>
      </c>
      <c r="P721">
        <v>2004</v>
      </c>
      <c r="Q721" t="s">
        <v>3641</v>
      </c>
      <c r="R721" t="s">
        <v>74</v>
      </c>
      <c r="S721" t="s">
        <v>74</v>
      </c>
      <c r="T721" t="s">
        <v>74</v>
      </c>
      <c r="U721" t="s">
        <v>74</v>
      </c>
      <c r="V721" t="s">
        <v>10385</v>
      </c>
      <c r="W721" t="s">
        <v>10386</v>
      </c>
      <c r="X721" t="s">
        <v>1000</v>
      </c>
      <c r="Y721" t="s">
        <v>10387</v>
      </c>
      <c r="Z721" t="s">
        <v>74</v>
      </c>
      <c r="AA721" t="s">
        <v>74</v>
      </c>
      <c r="AB721" t="s">
        <v>10388</v>
      </c>
      <c r="AC721" t="s">
        <v>74</v>
      </c>
      <c r="AD721" t="s">
        <v>74</v>
      </c>
      <c r="AE721" t="s">
        <v>74</v>
      </c>
      <c r="AF721" t="s">
        <v>74</v>
      </c>
      <c r="AG721">
        <v>4</v>
      </c>
      <c r="AH721">
        <v>2</v>
      </c>
      <c r="AI721">
        <v>2</v>
      </c>
      <c r="AJ721">
        <v>0</v>
      </c>
      <c r="AK721">
        <v>1</v>
      </c>
      <c r="AL721" t="s">
        <v>10275</v>
      </c>
      <c r="AM721" t="s">
        <v>10276</v>
      </c>
      <c r="AN721" t="s">
        <v>10277</v>
      </c>
      <c r="AO721" t="s">
        <v>10278</v>
      </c>
      <c r="AP721" t="s">
        <v>74</v>
      </c>
      <c r="AQ721" t="s">
        <v>10279</v>
      </c>
      <c r="AR721" t="s">
        <v>10280</v>
      </c>
      <c r="AS721" t="s">
        <v>74</v>
      </c>
      <c r="AT721" t="s">
        <v>74</v>
      </c>
      <c r="AU721">
        <v>2005</v>
      </c>
      <c r="AV721">
        <v>14</v>
      </c>
      <c r="AW721" t="s">
        <v>74</v>
      </c>
      <c r="AX721" t="s">
        <v>74</v>
      </c>
      <c r="AY721" t="s">
        <v>74</v>
      </c>
      <c r="AZ721" t="s">
        <v>74</v>
      </c>
      <c r="BA721" t="s">
        <v>74</v>
      </c>
      <c r="BB721">
        <v>269</v>
      </c>
      <c r="BC721">
        <v>274</v>
      </c>
      <c r="BD721" t="s">
        <v>74</v>
      </c>
      <c r="BE721" t="s">
        <v>10389</v>
      </c>
      <c r="BF721" t="str">
        <f>HYPERLINK("http://dx.doi.org/10.1051/eas:2005042","http://dx.doi.org/10.1051/eas:2005042")</f>
        <v>http://dx.doi.org/10.1051/eas:2005042</v>
      </c>
      <c r="BG721" t="s">
        <v>74</v>
      </c>
      <c r="BH721" t="s">
        <v>74</v>
      </c>
      <c r="BI721">
        <v>6</v>
      </c>
      <c r="BJ721" t="s">
        <v>10282</v>
      </c>
      <c r="BK721" t="s">
        <v>8890</v>
      </c>
      <c r="BL721" t="s">
        <v>10282</v>
      </c>
      <c r="BM721" t="s">
        <v>10283</v>
      </c>
      <c r="BN721" t="s">
        <v>74</v>
      </c>
      <c r="BO721" t="s">
        <v>74</v>
      </c>
      <c r="BP721" t="s">
        <v>74</v>
      </c>
      <c r="BQ721" t="s">
        <v>74</v>
      </c>
      <c r="BR721" t="s">
        <v>97</v>
      </c>
      <c r="BS721" t="s">
        <v>10390</v>
      </c>
      <c r="BT721" t="str">
        <f>HYPERLINK("https%3A%2F%2Fwww.webofscience.com%2Fwos%2Fwoscc%2Ffull-record%2FWOS:000231723200041","View Full Record in Web of Science")</f>
        <v>View Full Record in Web of Science</v>
      </c>
    </row>
    <row r="722" spans="1:72" x14ac:dyDescent="0.15">
      <c r="A722" t="s">
        <v>8867</v>
      </c>
      <c r="B722" t="s">
        <v>10391</v>
      </c>
      <c r="C722" t="s">
        <v>74</v>
      </c>
      <c r="D722" t="s">
        <v>10265</v>
      </c>
      <c r="E722" t="s">
        <v>74</v>
      </c>
      <c r="F722" t="s">
        <v>10391</v>
      </c>
      <c r="G722" t="s">
        <v>74</v>
      </c>
      <c r="H722" t="s">
        <v>74</v>
      </c>
      <c r="I722" t="s">
        <v>10392</v>
      </c>
      <c r="J722" t="s">
        <v>10267</v>
      </c>
      <c r="K722" t="s">
        <v>10268</v>
      </c>
      <c r="L722" t="s">
        <v>74</v>
      </c>
      <c r="M722" t="s">
        <v>77</v>
      </c>
      <c r="N722" t="s">
        <v>8873</v>
      </c>
      <c r="O722" t="s">
        <v>10269</v>
      </c>
      <c r="P722">
        <v>2004</v>
      </c>
      <c r="Q722" t="s">
        <v>3641</v>
      </c>
      <c r="R722" t="s">
        <v>74</v>
      </c>
      <c r="S722" t="s">
        <v>74</v>
      </c>
      <c r="T722" t="s">
        <v>74</v>
      </c>
      <c r="U722" t="s">
        <v>74</v>
      </c>
      <c r="V722" t="s">
        <v>10393</v>
      </c>
      <c r="W722" t="s">
        <v>10272</v>
      </c>
      <c r="X722" t="s">
        <v>897</v>
      </c>
      <c r="Y722" t="s">
        <v>10394</v>
      </c>
      <c r="Z722" t="s">
        <v>74</v>
      </c>
      <c r="AA722" t="s">
        <v>74</v>
      </c>
      <c r="AB722" t="s">
        <v>10395</v>
      </c>
      <c r="AC722" t="s">
        <v>74</v>
      </c>
      <c r="AD722" t="s">
        <v>74</v>
      </c>
      <c r="AE722" t="s">
        <v>74</v>
      </c>
      <c r="AF722" t="s">
        <v>74</v>
      </c>
      <c r="AG722">
        <v>4</v>
      </c>
      <c r="AH722">
        <v>4</v>
      </c>
      <c r="AI722">
        <v>5</v>
      </c>
      <c r="AJ722">
        <v>0</v>
      </c>
      <c r="AK722">
        <v>1</v>
      </c>
      <c r="AL722" t="s">
        <v>10275</v>
      </c>
      <c r="AM722" t="s">
        <v>10276</v>
      </c>
      <c r="AN722" t="s">
        <v>10277</v>
      </c>
      <c r="AO722" t="s">
        <v>10278</v>
      </c>
      <c r="AP722" t="s">
        <v>74</v>
      </c>
      <c r="AQ722" t="s">
        <v>10279</v>
      </c>
      <c r="AR722" t="s">
        <v>10280</v>
      </c>
      <c r="AS722" t="s">
        <v>74</v>
      </c>
      <c r="AT722" t="s">
        <v>74</v>
      </c>
      <c r="AU722">
        <v>2005</v>
      </c>
      <c r="AV722">
        <v>14</v>
      </c>
      <c r="AW722" t="s">
        <v>74</v>
      </c>
      <c r="AX722" t="s">
        <v>74</v>
      </c>
      <c r="AY722" t="s">
        <v>74</v>
      </c>
      <c r="AZ722" t="s">
        <v>74</v>
      </c>
      <c r="BA722" t="s">
        <v>74</v>
      </c>
      <c r="BB722">
        <v>321</v>
      </c>
      <c r="BC722">
        <v>324</v>
      </c>
      <c r="BD722" t="s">
        <v>74</v>
      </c>
      <c r="BE722" t="s">
        <v>10396</v>
      </c>
      <c r="BF722" t="str">
        <f>HYPERLINK("http://dx.doi.org/10.1051/eas:2005051","http://dx.doi.org/10.1051/eas:2005051")</f>
        <v>http://dx.doi.org/10.1051/eas:2005051</v>
      </c>
      <c r="BG722" t="s">
        <v>74</v>
      </c>
      <c r="BH722" t="s">
        <v>74</v>
      </c>
      <c r="BI722">
        <v>4</v>
      </c>
      <c r="BJ722" t="s">
        <v>10282</v>
      </c>
      <c r="BK722" t="s">
        <v>8890</v>
      </c>
      <c r="BL722" t="s">
        <v>10282</v>
      </c>
      <c r="BM722" t="s">
        <v>10283</v>
      </c>
      <c r="BN722" t="s">
        <v>74</v>
      </c>
      <c r="BO722" t="s">
        <v>74</v>
      </c>
      <c r="BP722" t="s">
        <v>74</v>
      </c>
      <c r="BQ722" t="s">
        <v>74</v>
      </c>
      <c r="BR722" t="s">
        <v>97</v>
      </c>
      <c r="BS722" t="s">
        <v>10397</v>
      </c>
      <c r="BT722" t="str">
        <f>HYPERLINK("https%3A%2F%2Fwww.webofscience.com%2Fwos%2Fwoscc%2Ffull-record%2FWOS:000231723200050","View Full Record in Web of Science")</f>
        <v>View Full Record in Web of Science</v>
      </c>
    </row>
    <row r="723" spans="1:72" x14ac:dyDescent="0.15">
      <c r="A723" t="s">
        <v>8867</v>
      </c>
      <c r="B723" t="s">
        <v>10398</v>
      </c>
      <c r="C723" t="s">
        <v>74</v>
      </c>
      <c r="D723" t="s">
        <v>10265</v>
      </c>
      <c r="E723" t="s">
        <v>74</v>
      </c>
      <c r="F723" t="s">
        <v>10398</v>
      </c>
      <c r="G723" t="s">
        <v>74</v>
      </c>
      <c r="H723" t="s">
        <v>74</v>
      </c>
      <c r="I723" t="s">
        <v>10399</v>
      </c>
      <c r="J723" t="s">
        <v>10267</v>
      </c>
      <c r="K723" t="s">
        <v>10268</v>
      </c>
      <c r="L723" t="s">
        <v>74</v>
      </c>
      <c r="M723" t="s">
        <v>77</v>
      </c>
      <c r="N723" t="s">
        <v>8873</v>
      </c>
      <c r="O723" t="s">
        <v>10269</v>
      </c>
      <c r="P723">
        <v>2004</v>
      </c>
      <c r="Q723" t="s">
        <v>3641</v>
      </c>
      <c r="R723" t="s">
        <v>74</v>
      </c>
      <c r="S723" t="s">
        <v>74</v>
      </c>
      <c r="T723" t="s">
        <v>74</v>
      </c>
      <c r="U723" t="s">
        <v>74</v>
      </c>
      <c r="V723" t="s">
        <v>10400</v>
      </c>
      <c r="W723" t="s">
        <v>10401</v>
      </c>
      <c r="X723" t="s">
        <v>10402</v>
      </c>
      <c r="Y723" t="s">
        <v>10403</v>
      </c>
      <c r="Z723" t="s">
        <v>74</v>
      </c>
      <c r="AA723" t="s">
        <v>10404</v>
      </c>
      <c r="AB723" t="s">
        <v>10405</v>
      </c>
      <c r="AC723" t="s">
        <v>74</v>
      </c>
      <c r="AD723" t="s">
        <v>74</v>
      </c>
      <c r="AE723" t="s">
        <v>74</v>
      </c>
      <c r="AF723" t="s">
        <v>74</v>
      </c>
      <c r="AG723">
        <v>4</v>
      </c>
      <c r="AH723">
        <v>1</v>
      </c>
      <c r="AI723">
        <v>1</v>
      </c>
      <c r="AJ723">
        <v>0</v>
      </c>
      <c r="AK723">
        <v>1</v>
      </c>
      <c r="AL723" t="s">
        <v>10275</v>
      </c>
      <c r="AM723" t="s">
        <v>10276</v>
      </c>
      <c r="AN723" t="s">
        <v>10277</v>
      </c>
      <c r="AO723" t="s">
        <v>10278</v>
      </c>
      <c r="AP723" t="s">
        <v>74</v>
      </c>
      <c r="AQ723" t="s">
        <v>10279</v>
      </c>
      <c r="AR723" t="s">
        <v>10280</v>
      </c>
      <c r="AS723" t="s">
        <v>74</v>
      </c>
      <c r="AT723" t="s">
        <v>74</v>
      </c>
      <c r="AU723">
        <v>2005</v>
      </c>
      <c r="AV723">
        <v>14</v>
      </c>
      <c r="AW723" t="s">
        <v>74</v>
      </c>
      <c r="AX723" t="s">
        <v>74</v>
      </c>
      <c r="AY723" t="s">
        <v>74</v>
      </c>
      <c r="AZ723" t="s">
        <v>74</v>
      </c>
      <c r="BA723" t="s">
        <v>74</v>
      </c>
      <c r="BB723">
        <v>337</v>
      </c>
      <c r="BC723">
        <v>342</v>
      </c>
      <c r="BD723" t="s">
        <v>74</v>
      </c>
      <c r="BE723" t="s">
        <v>10406</v>
      </c>
      <c r="BF723" t="str">
        <f>HYPERLINK("http://dx.doi.org/10.1051/eas:2005054","http://dx.doi.org/10.1051/eas:2005054")</f>
        <v>http://dx.doi.org/10.1051/eas:2005054</v>
      </c>
      <c r="BG723" t="s">
        <v>74</v>
      </c>
      <c r="BH723" t="s">
        <v>74</v>
      </c>
      <c r="BI723">
        <v>6</v>
      </c>
      <c r="BJ723" t="s">
        <v>10282</v>
      </c>
      <c r="BK723" t="s">
        <v>8890</v>
      </c>
      <c r="BL723" t="s">
        <v>10282</v>
      </c>
      <c r="BM723" t="s">
        <v>10283</v>
      </c>
      <c r="BN723" t="s">
        <v>74</v>
      </c>
      <c r="BO723" t="s">
        <v>74</v>
      </c>
      <c r="BP723" t="s">
        <v>74</v>
      </c>
      <c r="BQ723" t="s">
        <v>74</v>
      </c>
      <c r="BR723" t="s">
        <v>97</v>
      </c>
      <c r="BS723" t="s">
        <v>10407</v>
      </c>
      <c r="BT723" t="str">
        <f>HYPERLINK("https%3A%2F%2Fwww.webofscience.com%2Fwos%2Fwoscc%2Ffull-record%2FWOS:000231723200053","View Full Record in Web of Science")</f>
        <v>View Full Record in Web of Science</v>
      </c>
    </row>
    <row r="724" spans="1:72" x14ac:dyDescent="0.15">
      <c r="A724" t="s">
        <v>8867</v>
      </c>
      <c r="B724" t="s">
        <v>10408</v>
      </c>
      <c r="C724" t="s">
        <v>74</v>
      </c>
      <c r="D724" t="s">
        <v>10265</v>
      </c>
      <c r="E724" t="s">
        <v>74</v>
      </c>
      <c r="F724" t="s">
        <v>10408</v>
      </c>
      <c r="G724" t="s">
        <v>74</v>
      </c>
      <c r="H724" t="s">
        <v>74</v>
      </c>
      <c r="I724" t="s">
        <v>10409</v>
      </c>
      <c r="J724" t="s">
        <v>10287</v>
      </c>
      <c r="K724" t="s">
        <v>10288</v>
      </c>
      <c r="L724" t="s">
        <v>74</v>
      </c>
      <c r="M724" t="s">
        <v>77</v>
      </c>
      <c r="N724" t="s">
        <v>8873</v>
      </c>
      <c r="O724" t="s">
        <v>10269</v>
      </c>
      <c r="P724">
        <v>2004</v>
      </c>
      <c r="Q724" t="s">
        <v>3641</v>
      </c>
      <c r="R724" t="s">
        <v>74</v>
      </c>
      <c r="S724" t="s">
        <v>74</v>
      </c>
      <c r="T724" t="s">
        <v>74</v>
      </c>
      <c r="U724" t="s">
        <v>10410</v>
      </c>
      <c r="V724" t="s">
        <v>10411</v>
      </c>
      <c r="W724" t="s">
        <v>10412</v>
      </c>
      <c r="X724" t="s">
        <v>10413</v>
      </c>
      <c r="Y724" t="s">
        <v>10414</v>
      </c>
      <c r="Z724" t="s">
        <v>74</v>
      </c>
      <c r="AA724" t="s">
        <v>10415</v>
      </c>
      <c r="AB724" t="s">
        <v>74</v>
      </c>
      <c r="AC724" t="s">
        <v>74</v>
      </c>
      <c r="AD724" t="s">
        <v>74</v>
      </c>
      <c r="AE724" t="s">
        <v>74</v>
      </c>
      <c r="AF724" t="s">
        <v>74</v>
      </c>
      <c r="AG724">
        <v>9</v>
      </c>
      <c r="AH724">
        <v>1</v>
      </c>
      <c r="AI724">
        <v>1</v>
      </c>
      <c r="AJ724">
        <v>0</v>
      </c>
      <c r="AK724">
        <v>0</v>
      </c>
      <c r="AL724" t="s">
        <v>10275</v>
      </c>
      <c r="AM724" t="s">
        <v>10276</v>
      </c>
      <c r="AN724" t="s">
        <v>10277</v>
      </c>
      <c r="AO724" t="s">
        <v>10278</v>
      </c>
      <c r="AP724" t="s">
        <v>74</v>
      </c>
      <c r="AQ724" t="s">
        <v>10279</v>
      </c>
      <c r="AR724" t="s">
        <v>10280</v>
      </c>
      <c r="AS724" t="s">
        <v>74</v>
      </c>
      <c r="AT724" t="s">
        <v>74</v>
      </c>
      <c r="AU724">
        <v>2005</v>
      </c>
      <c r="AV724">
        <v>14</v>
      </c>
      <c r="AW724" t="s">
        <v>74</v>
      </c>
      <c r="AX724" t="s">
        <v>74</v>
      </c>
      <c r="AY724" t="s">
        <v>74</v>
      </c>
      <c r="AZ724" t="s">
        <v>74</v>
      </c>
      <c r="BA724" t="s">
        <v>74</v>
      </c>
      <c r="BB724">
        <v>343</v>
      </c>
      <c r="BC724">
        <v>348</v>
      </c>
      <c r="BD724" t="s">
        <v>74</v>
      </c>
      <c r="BE724" t="s">
        <v>10416</v>
      </c>
      <c r="BF724" t="str">
        <f>HYPERLINK("http://dx.doi.org/10.1051/eas:2005055","http://dx.doi.org/10.1051/eas:2005055")</f>
        <v>http://dx.doi.org/10.1051/eas:2005055</v>
      </c>
      <c r="BG724" t="s">
        <v>74</v>
      </c>
      <c r="BH724" t="s">
        <v>74</v>
      </c>
      <c r="BI724">
        <v>6</v>
      </c>
      <c r="BJ724" t="s">
        <v>10282</v>
      </c>
      <c r="BK724" t="s">
        <v>8890</v>
      </c>
      <c r="BL724" t="s">
        <v>10282</v>
      </c>
      <c r="BM724" t="s">
        <v>10283</v>
      </c>
      <c r="BN724" t="s">
        <v>74</v>
      </c>
      <c r="BO724" t="s">
        <v>74</v>
      </c>
      <c r="BP724" t="s">
        <v>74</v>
      </c>
      <c r="BQ724" t="s">
        <v>74</v>
      </c>
      <c r="BR724" t="s">
        <v>97</v>
      </c>
      <c r="BS724" t="s">
        <v>10417</v>
      </c>
      <c r="BT724" t="str">
        <f>HYPERLINK("https%3A%2F%2Fwww.webofscience.com%2Fwos%2Fwoscc%2Ffull-record%2FWOS:000231723200054","View Full Record in Web of Science")</f>
        <v>View Full Record in Web of Science</v>
      </c>
    </row>
    <row r="725" spans="1:72" x14ac:dyDescent="0.15">
      <c r="A725" t="s">
        <v>8867</v>
      </c>
      <c r="B725" t="s">
        <v>10418</v>
      </c>
      <c r="C725" t="s">
        <v>74</v>
      </c>
      <c r="D725" t="s">
        <v>10419</v>
      </c>
      <c r="E725" t="s">
        <v>74</v>
      </c>
      <c r="F725" t="s">
        <v>10418</v>
      </c>
      <c r="G725" t="s">
        <v>74</v>
      </c>
      <c r="H725" t="s">
        <v>74</v>
      </c>
      <c r="I725" t="s">
        <v>10420</v>
      </c>
      <c r="J725" t="s">
        <v>10421</v>
      </c>
      <c r="K725" t="s">
        <v>10422</v>
      </c>
      <c r="L725" t="s">
        <v>74</v>
      </c>
      <c r="M725" t="s">
        <v>77</v>
      </c>
      <c r="N725" t="s">
        <v>8873</v>
      </c>
      <c r="O725" t="s">
        <v>10423</v>
      </c>
      <c r="P725" t="s">
        <v>10424</v>
      </c>
      <c r="Q725" t="s">
        <v>10425</v>
      </c>
      <c r="R725" t="s">
        <v>74</v>
      </c>
      <c r="S725" t="s">
        <v>10426</v>
      </c>
      <c r="T725" t="s">
        <v>74</v>
      </c>
      <c r="U725" t="s">
        <v>10427</v>
      </c>
      <c r="V725" t="s">
        <v>10428</v>
      </c>
      <c r="W725" t="s">
        <v>10429</v>
      </c>
      <c r="X725" t="s">
        <v>2951</v>
      </c>
      <c r="Y725" t="s">
        <v>10430</v>
      </c>
      <c r="Z725" t="s">
        <v>10431</v>
      </c>
      <c r="AA725" t="s">
        <v>74</v>
      </c>
      <c r="AB725" t="s">
        <v>10432</v>
      </c>
      <c r="AC725" t="s">
        <v>74</v>
      </c>
      <c r="AD725" t="s">
        <v>74</v>
      </c>
      <c r="AE725" t="s">
        <v>74</v>
      </c>
      <c r="AF725" t="s">
        <v>74</v>
      </c>
      <c r="AG725">
        <v>46</v>
      </c>
      <c r="AH725">
        <v>18</v>
      </c>
      <c r="AI725">
        <v>18</v>
      </c>
      <c r="AJ725">
        <v>1</v>
      </c>
      <c r="AK725">
        <v>10</v>
      </c>
      <c r="AL725" t="s">
        <v>10433</v>
      </c>
      <c r="AM725" t="s">
        <v>3586</v>
      </c>
      <c r="AN725" t="s">
        <v>10434</v>
      </c>
      <c r="AO725" t="s">
        <v>10435</v>
      </c>
      <c r="AP725" t="s">
        <v>74</v>
      </c>
      <c r="AQ725" t="s">
        <v>10436</v>
      </c>
      <c r="AR725" t="s">
        <v>10437</v>
      </c>
      <c r="AS725" t="s">
        <v>10438</v>
      </c>
      <c r="AT725" t="s">
        <v>74</v>
      </c>
      <c r="AU725">
        <v>2005</v>
      </c>
      <c r="AV725">
        <v>247</v>
      </c>
      <c r="AW725" t="s">
        <v>74</v>
      </c>
      <c r="AX725" t="s">
        <v>74</v>
      </c>
      <c r="AY725" t="s">
        <v>74</v>
      </c>
      <c r="AZ725" t="s">
        <v>74</v>
      </c>
      <c r="BA725" t="s">
        <v>74</v>
      </c>
      <c r="BB725">
        <v>131</v>
      </c>
      <c r="BC725">
        <v>145</v>
      </c>
      <c r="BD725" t="s">
        <v>74</v>
      </c>
      <c r="BE725" t="s">
        <v>10439</v>
      </c>
      <c r="BF725" t="str">
        <f>HYPERLINK("http://dx.doi.org/10.1144/GSL.SP.2005.247.01.07","http://dx.doi.org/10.1144/GSL.SP.2005.247.01.07")</f>
        <v>http://dx.doi.org/10.1144/GSL.SP.2005.247.01.07</v>
      </c>
      <c r="BG725" t="s">
        <v>74</v>
      </c>
      <c r="BH725" t="s">
        <v>74</v>
      </c>
      <c r="BI725">
        <v>15</v>
      </c>
      <c r="BJ725" t="s">
        <v>10440</v>
      </c>
      <c r="BK725" t="s">
        <v>8890</v>
      </c>
      <c r="BL725" t="s">
        <v>7839</v>
      </c>
      <c r="BM725" t="s">
        <v>10441</v>
      </c>
      <c r="BN725" t="s">
        <v>74</v>
      </c>
      <c r="BO725" t="s">
        <v>74</v>
      </c>
      <c r="BP725" t="s">
        <v>74</v>
      </c>
      <c r="BQ725" t="s">
        <v>74</v>
      </c>
      <c r="BR725" t="s">
        <v>97</v>
      </c>
      <c r="BS725" t="s">
        <v>10442</v>
      </c>
      <c r="BT725" t="str">
        <f>HYPERLINK("https%3A%2F%2Fwww.webofscience.com%2Fwos%2Fwoscc%2Ffull-record%2FWOS:000235186200007","View Full Record in Web of Science")</f>
        <v>View Full Record in Web of Science</v>
      </c>
    </row>
    <row r="726" spans="1:72" x14ac:dyDescent="0.15">
      <c r="A726" t="s">
        <v>8867</v>
      </c>
      <c r="B726" t="s">
        <v>10443</v>
      </c>
      <c r="C726" t="s">
        <v>74</v>
      </c>
      <c r="D726" t="s">
        <v>10444</v>
      </c>
      <c r="E726" t="s">
        <v>74</v>
      </c>
      <c r="F726" t="s">
        <v>10443</v>
      </c>
      <c r="G726" t="s">
        <v>74</v>
      </c>
      <c r="H726" t="s">
        <v>74</v>
      </c>
      <c r="I726" t="s">
        <v>10445</v>
      </c>
      <c r="J726" t="s">
        <v>10446</v>
      </c>
      <c r="K726" t="s">
        <v>74</v>
      </c>
      <c r="L726" t="s">
        <v>74</v>
      </c>
      <c r="M726" t="s">
        <v>77</v>
      </c>
      <c r="N726" t="s">
        <v>8873</v>
      </c>
      <c r="O726" t="s">
        <v>10447</v>
      </c>
      <c r="P726" t="s">
        <v>10448</v>
      </c>
      <c r="Q726" t="s">
        <v>10449</v>
      </c>
      <c r="R726" t="s">
        <v>74</v>
      </c>
      <c r="S726" t="s">
        <v>10450</v>
      </c>
      <c r="T726" t="s">
        <v>10451</v>
      </c>
      <c r="U726" t="s">
        <v>10452</v>
      </c>
      <c r="V726" t="s">
        <v>10453</v>
      </c>
      <c r="W726" t="s">
        <v>10454</v>
      </c>
      <c r="X726" t="s">
        <v>10455</v>
      </c>
      <c r="Y726" t="s">
        <v>10456</v>
      </c>
      <c r="Z726" t="s">
        <v>10457</v>
      </c>
      <c r="AA726" t="s">
        <v>10458</v>
      </c>
      <c r="AB726" t="s">
        <v>10459</v>
      </c>
      <c r="AC726" t="s">
        <v>74</v>
      </c>
      <c r="AD726" t="s">
        <v>74</v>
      </c>
      <c r="AE726" t="s">
        <v>74</v>
      </c>
      <c r="AF726" t="s">
        <v>74</v>
      </c>
      <c r="AG726">
        <v>24</v>
      </c>
      <c r="AH726">
        <v>3</v>
      </c>
      <c r="AI726">
        <v>3</v>
      </c>
      <c r="AJ726">
        <v>0</v>
      </c>
      <c r="AK726">
        <v>2</v>
      </c>
      <c r="AL726" t="s">
        <v>10460</v>
      </c>
      <c r="AM726" t="s">
        <v>9853</v>
      </c>
      <c r="AN726" t="s">
        <v>10461</v>
      </c>
      <c r="AO726" t="s">
        <v>74</v>
      </c>
      <c r="AP726" t="s">
        <v>74</v>
      </c>
      <c r="AQ726" t="s">
        <v>10462</v>
      </c>
      <c r="AR726" t="s">
        <v>74</v>
      </c>
      <c r="AS726" t="s">
        <v>74</v>
      </c>
      <c r="AT726" t="s">
        <v>74</v>
      </c>
      <c r="AU726">
        <v>2005</v>
      </c>
      <c r="AV726" t="s">
        <v>74</v>
      </c>
      <c r="AW726" t="s">
        <v>74</v>
      </c>
      <c r="AX726" t="s">
        <v>74</v>
      </c>
      <c r="AY726" t="s">
        <v>74</v>
      </c>
      <c r="AZ726" t="s">
        <v>74</v>
      </c>
      <c r="BA726" t="s">
        <v>74</v>
      </c>
      <c r="BB726">
        <v>3</v>
      </c>
      <c r="BC726">
        <v>12</v>
      </c>
      <c r="BD726" t="s">
        <v>74</v>
      </c>
      <c r="BE726" t="s">
        <v>10463</v>
      </c>
      <c r="BF726" t="str">
        <f>HYPERLINK("http://dx.doi.org/10.1007/3-540-26800-6_1","http://dx.doi.org/10.1007/3-540-26800-6_1")</f>
        <v>http://dx.doi.org/10.1007/3-540-26800-6_1</v>
      </c>
      <c r="BG726" t="s">
        <v>74</v>
      </c>
      <c r="BH726" t="s">
        <v>74</v>
      </c>
      <c r="BI726">
        <v>10</v>
      </c>
      <c r="BJ726" t="s">
        <v>10464</v>
      </c>
      <c r="BK726" t="s">
        <v>8890</v>
      </c>
      <c r="BL726" t="s">
        <v>10464</v>
      </c>
      <c r="BM726" t="s">
        <v>10465</v>
      </c>
      <c r="BN726" t="s">
        <v>74</v>
      </c>
      <c r="BO726" t="s">
        <v>74</v>
      </c>
      <c r="BP726" t="s">
        <v>74</v>
      </c>
      <c r="BQ726" t="s">
        <v>74</v>
      </c>
      <c r="BR726" t="s">
        <v>97</v>
      </c>
      <c r="BS726" t="s">
        <v>10466</v>
      </c>
      <c r="BT726" t="str">
        <f>HYPERLINK("https%3A%2F%2Fwww.webofscience.com%2Fwos%2Fwoscc%2Ffull-record%2FWOS:000226132800001","View Full Record in Web of Science")</f>
        <v>View Full Record in Web of Science</v>
      </c>
    </row>
    <row r="727" spans="1:72" x14ac:dyDescent="0.15">
      <c r="A727" t="s">
        <v>8867</v>
      </c>
      <c r="B727" t="s">
        <v>10467</v>
      </c>
      <c r="C727" t="s">
        <v>74</v>
      </c>
      <c r="D727" t="s">
        <v>10444</v>
      </c>
      <c r="E727" t="s">
        <v>74</v>
      </c>
      <c r="F727" t="s">
        <v>10467</v>
      </c>
      <c r="G727" t="s">
        <v>74</v>
      </c>
      <c r="H727" t="s">
        <v>74</v>
      </c>
      <c r="I727" t="s">
        <v>10468</v>
      </c>
      <c r="J727" t="s">
        <v>10446</v>
      </c>
      <c r="K727" t="s">
        <v>74</v>
      </c>
      <c r="L727" t="s">
        <v>74</v>
      </c>
      <c r="M727" t="s">
        <v>77</v>
      </c>
      <c r="N727" t="s">
        <v>8873</v>
      </c>
      <c r="O727" t="s">
        <v>10447</v>
      </c>
      <c r="P727" t="s">
        <v>10448</v>
      </c>
      <c r="Q727" t="s">
        <v>10449</v>
      </c>
      <c r="R727" t="s">
        <v>74</v>
      </c>
      <c r="S727" t="s">
        <v>10450</v>
      </c>
      <c r="T727" t="s">
        <v>10469</v>
      </c>
      <c r="U727" t="s">
        <v>10470</v>
      </c>
      <c r="V727" t="s">
        <v>10471</v>
      </c>
      <c r="W727" t="s">
        <v>10472</v>
      </c>
      <c r="X727" t="s">
        <v>10473</v>
      </c>
      <c r="Y727" t="s">
        <v>10474</v>
      </c>
      <c r="Z727" t="s">
        <v>74</v>
      </c>
      <c r="AA727" t="s">
        <v>10475</v>
      </c>
      <c r="AB727" t="s">
        <v>10476</v>
      </c>
      <c r="AC727" t="s">
        <v>74</v>
      </c>
      <c r="AD727" t="s">
        <v>74</v>
      </c>
      <c r="AE727" t="s">
        <v>74</v>
      </c>
      <c r="AF727" t="s">
        <v>74</v>
      </c>
      <c r="AG727">
        <v>17</v>
      </c>
      <c r="AH727">
        <v>3</v>
      </c>
      <c r="AI727">
        <v>4</v>
      </c>
      <c r="AJ727">
        <v>1</v>
      </c>
      <c r="AK727">
        <v>3</v>
      </c>
      <c r="AL727" t="s">
        <v>10460</v>
      </c>
      <c r="AM727" t="s">
        <v>9853</v>
      </c>
      <c r="AN727" t="s">
        <v>10461</v>
      </c>
      <c r="AO727" t="s">
        <v>74</v>
      </c>
      <c r="AP727" t="s">
        <v>74</v>
      </c>
      <c r="AQ727" t="s">
        <v>10462</v>
      </c>
      <c r="AR727" t="s">
        <v>74</v>
      </c>
      <c r="AS727" t="s">
        <v>74</v>
      </c>
      <c r="AT727" t="s">
        <v>74</v>
      </c>
      <c r="AU727">
        <v>2005</v>
      </c>
      <c r="AV727" t="s">
        <v>74</v>
      </c>
      <c r="AW727" t="s">
        <v>74</v>
      </c>
      <c r="AX727" t="s">
        <v>74</v>
      </c>
      <c r="AY727" t="s">
        <v>74</v>
      </c>
      <c r="AZ727" t="s">
        <v>74</v>
      </c>
      <c r="BA727" t="s">
        <v>74</v>
      </c>
      <c r="BB727">
        <v>261</v>
      </c>
      <c r="BC727">
        <v>266</v>
      </c>
      <c r="BD727" t="s">
        <v>74</v>
      </c>
      <c r="BE727" t="s">
        <v>10477</v>
      </c>
      <c r="BF727" t="str">
        <f>HYPERLINK("http://dx.doi.org/10.1007/3-540-26800-6_41","http://dx.doi.org/10.1007/3-540-26800-6_41")</f>
        <v>http://dx.doi.org/10.1007/3-540-26800-6_41</v>
      </c>
      <c r="BG727" t="s">
        <v>74</v>
      </c>
      <c r="BH727" t="s">
        <v>74</v>
      </c>
      <c r="BI727">
        <v>6</v>
      </c>
      <c r="BJ727" t="s">
        <v>10464</v>
      </c>
      <c r="BK727" t="s">
        <v>8890</v>
      </c>
      <c r="BL727" t="s">
        <v>10464</v>
      </c>
      <c r="BM727" t="s">
        <v>10465</v>
      </c>
      <c r="BN727" t="s">
        <v>74</v>
      </c>
      <c r="BO727" t="s">
        <v>143</v>
      </c>
      <c r="BP727" t="s">
        <v>74</v>
      </c>
      <c r="BQ727" t="s">
        <v>74</v>
      </c>
      <c r="BR727" t="s">
        <v>97</v>
      </c>
      <c r="BS727" t="s">
        <v>10478</v>
      </c>
      <c r="BT727" t="str">
        <f>HYPERLINK("https%3A%2F%2Fwww.webofscience.com%2Fwos%2Fwoscc%2Ffull-record%2FWOS:000226132800041","View Full Record in Web of Science")</f>
        <v>View Full Record in Web of Science</v>
      </c>
    </row>
    <row r="728" spans="1:72" x14ac:dyDescent="0.15">
      <c r="A728" t="s">
        <v>8867</v>
      </c>
      <c r="B728" t="s">
        <v>10479</v>
      </c>
      <c r="C728" t="s">
        <v>74</v>
      </c>
      <c r="D728" t="s">
        <v>10444</v>
      </c>
      <c r="E728" t="s">
        <v>74</v>
      </c>
      <c r="F728" t="s">
        <v>10479</v>
      </c>
      <c r="G728" t="s">
        <v>74</v>
      </c>
      <c r="H728" t="s">
        <v>74</v>
      </c>
      <c r="I728" t="s">
        <v>10480</v>
      </c>
      <c r="J728" t="s">
        <v>10446</v>
      </c>
      <c r="K728" t="s">
        <v>74</v>
      </c>
      <c r="L728" t="s">
        <v>74</v>
      </c>
      <c r="M728" t="s">
        <v>77</v>
      </c>
      <c r="N728" t="s">
        <v>8873</v>
      </c>
      <c r="O728" t="s">
        <v>10447</v>
      </c>
      <c r="P728" t="s">
        <v>10448</v>
      </c>
      <c r="Q728" t="s">
        <v>10449</v>
      </c>
      <c r="R728" t="s">
        <v>74</v>
      </c>
      <c r="S728" t="s">
        <v>10450</v>
      </c>
      <c r="T728" t="s">
        <v>10481</v>
      </c>
      <c r="U728" t="s">
        <v>10482</v>
      </c>
      <c r="V728" t="s">
        <v>10483</v>
      </c>
      <c r="W728" t="s">
        <v>10484</v>
      </c>
      <c r="X728" t="s">
        <v>5825</v>
      </c>
      <c r="Y728" t="s">
        <v>10485</v>
      </c>
      <c r="Z728" t="s">
        <v>74</v>
      </c>
      <c r="AA728" t="s">
        <v>10486</v>
      </c>
      <c r="AB728" t="s">
        <v>10487</v>
      </c>
      <c r="AC728" t="s">
        <v>74</v>
      </c>
      <c r="AD728" t="s">
        <v>74</v>
      </c>
      <c r="AE728" t="s">
        <v>74</v>
      </c>
      <c r="AF728" t="s">
        <v>74</v>
      </c>
      <c r="AG728">
        <v>16</v>
      </c>
      <c r="AH728">
        <v>3</v>
      </c>
      <c r="AI728">
        <v>3</v>
      </c>
      <c r="AJ728">
        <v>0</v>
      </c>
      <c r="AK728">
        <v>5</v>
      </c>
      <c r="AL728" t="s">
        <v>10460</v>
      </c>
      <c r="AM728" t="s">
        <v>9853</v>
      </c>
      <c r="AN728" t="s">
        <v>10461</v>
      </c>
      <c r="AO728" t="s">
        <v>74</v>
      </c>
      <c r="AP728" t="s">
        <v>74</v>
      </c>
      <c r="AQ728" t="s">
        <v>10462</v>
      </c>
      <c r="AR728" t="s">
        <v>74</v>
      </c>
      <c r="AS728" t="s">
        <v>74</v>
      </c>
      <c r="AT728" t="s">
        <v>74</v>
      </c>
      <c r="AU728">
        <v>2005</v>
      </c>
      <c r="AV728" t="s">
        <v>74</v>
      </c>
      <c r="AW728" t="s">
        <v>74</v>
      </c>
      <c r="AX728" t="s">
        <v>74</v>
      </c>
      <c r="AY728" t="s">
        <v>74</v>
      </c>
      <c r="AZ728" t="s">
        <v>74</v>
      </c>
      <c r="BA728" t="s">
        <v>74</v>
      </c>
      <c r="BB728">
        <v>317</v>
      </c>
      <c r="BC728">
        <v>322</v>
      </c>
      <c r="BD728" t="s">
        <v>74</v>
      </c>
      <c r="BE728" t="s">
        <v>10488</v>
      </c>
      <c r="BF728" t="str">
        <f>HYPERLINK("http://dx.doi.org/10.1007/3-540-26800-6_50","http://dx.doi.org/10.1007/3-540-26800-6_50")</f>
        <v>http://dx.doi.org/10.1007/3-540-26800-6_50</v>
      </c>
      <c r="BG728" t="s">
        <v>74</v>
      </c>
      <c r="BH728" t="s">
        <v>74</v>
      </c>
      <c r="BI728">
        <v>6</v>
      </c>
      <c r="BJ728" t="s">
        <v>10464</v>
      </c>
      <c r="BK728" t="s">
        <v>8890</v>
      </c>
      <c r="BL728" t="s">
        <v>10464</v>
      </c>
      <c r="BM728" t="s">
        <v>10465</v>
      </c>
      <c r="BN728" t="s">
        <v>74</v>
      </c>
      <c r="BO728" t="s">
        <v>74</v>
      </c>
      <c r="BP728" t="s">
        <v>74</v>
      </c>
      <c r="BQ728" t="s">
        <v>74</v>
      </c>
      <c r="BR728" t="s">
        <v>97</v>
      </c>
      <c r="BS728" t="s">
        <v>10489</v>
      </c>
      <c r="BT728" t="str">
        <f>HYPERLINK("https%3A%2F%2Fwww.webofscience.com%2Fwos%2Fwoscc%2Ffull-record%2FWOS:000226132800050","View Full Record in Web of Science")</f>
        <v>View Full Record in Web of Science</v>
      </c>
    </row>
    <row r="729" spans="1:72" x14ac:dyDescent="0.15">
      <c r="A729" t="s">
        <v>72</v>
      </c>
      <c r="B729" t="s">
        <v>10490</v>
      </c>
      <c r="C729" t="s">
        <v>74</v>
      </c>
      <c r="D729" t="s">
        <v>74</v>
      </c>
      <c r="E729" t="s">
        <v>74</v>
      </c>
      <c r="F729" t="s">
        <v>10490</v>
      </c>
      <c r="G729" t="s">
        <v>74</v>
      </c>
      <c r="H729" t="s">
        <v>74</v>
      </c>
      <c r="I729" t="s">
        <v>10491</v>
      </c>
      <c r="J729" t="s">
        <v>10492</v>
      </c>
      <c r="K729" t="s">
        <v>74</v>
      </c>
      <c r="L729" t="s">
        <v>74</v>
      </c>
      <c r="M729" t="s">
        <v>77</v>
      </c>
      <c r="N729" t="s">
        <v>495</v>
      </c>
      <c r="O729" t="s">
        <v>10493</v>
      </c>
      <c r="P729" t="s">
        <v>10494</v>
      </c>
      <c r="Q729" t="s">
        <v>1926</v>
      </c>
      <c r="R729" t="s">
        <v>74</v>
      </c>
      <c r="S729" t="s">
        <v>74</v>
      </c>
      <c r="T729" t="s">
        <v>10495</v>
      </c>
      <c r="U729" t="s">
        <v>10496</v>
      </c>
      <c r="V729" t="s">
        <v>10497</v>
      </c>
      <c r="W729" t="s">
        <v>10498</v>
      </c>
      <c r="X729" t="s">
        <v>10499</v>
      </c>
      <c r="Y729" t="s">
        <v>10500</v>
      </c>
      <c r="Z729" t="s">
        <v>10501</v>
      </c>
      <c r="AA729" t="s">
        <v>10475</v>
      </c>
      <c r="AB729" t="s">
        <v>10502</v>
      </c>
      <c r="AC729" t="s">
        <v>74</v>
      </c>
      <c r="AD729" t="s">
        <v>74</v>
      </c>
      <c r="AE729" t="s">
        <v>74</v>
      </c>
      <c r="AF729" t="s">
        <v>74</v>
      </c>
      <c r="AG729">
        <v>66</v>
      </c>
      <c r="AH729">
        <v>8</v>
      </c>
      <c r="AI729">
        <v>9</v>
      </c>
      <c r="AJ729">
        <v>0</v>
      </c>
      <c r="AK729">
        <v>2</v>
      </c>
      <c r="AL729" t="s">
        <v>10503</v>
      </c>
      <c r="AM729" t="s">
        <v>739</v>
      </c>
      <c r="AN729" t="s">
        <v>10504</v>
      </c>
      <c r="AO729" t="s">
        <v>10505</v>
      </c>
      <c r="AP729" t="s">
        <v>74</v>
      </c>
      <c r="AQ729" t="s">
        <v>74</v>
      </c>
      <c r="AR729" t="s">
        <v>10506</v>
      </c>
      <c r="AS729" t="s">
        <v>10507</v>
      </c>
      <c r="AT729" t="s">
        <v>74</v>
      </c>
      <c r="AU729">
        <v>2005</v>
      </c>
      <c r="AV729">
        <v>57</v>
      </c>
      <c r="AW729">
        <v>8</v>
      </c>
      <c r="AX729" t="s">
        <v>74</v>
      </c>
      <c r="AY729" t="s">
        <v>74</v>
      </c>
      <c r="AZ729" t="s">
        <v>74</v>
      </c>
      <c r="BA729" t="s">
        <v>74</v>
      </c>
      <c r="BB729">
        <v>717</v>
      </c>
      <c r="BC729">
        <v>726</v>
      </c>
      <c r="BD729" t="s">
        <v>74</v>
      </c>
      <c r="BE729" t="s">
        <v>10508</v>
      </c>
      <c r="BF729" t="str">
        <f>HYPERLINK("http://dx.doi.org/10.1186/BF03351851","http://dx.doi.org/10.1186/BF03351851")</f>
        <v>http://dx.doi.org/10.1186/BF03351851</v>
      </c>
      <c r="BG729" t="s">
        <v>74</v>
      </c>
      <c r="BH729" t="s">
        <v>74</v>
      </c>
      <c r="BI729">
        <v>10</v>
      </c>
      <c r="BJ729" t="s">
        <v>537</v>
      </c>
      <c r="BK729" t="s">
        <v>514</v>
      </c>
      <c r="BL729" t="s">
        <v>307</v>
      </c>
      <c r="BM729" t="s">
        <v>10509</v>
      </c>
      <c r="BN729" t="s">
        <v>74</v>
      </c>
      <c r="BO729" t="s">
        <v>1776</v>
      </c>
      <c r="BP729" t="s">
        <v>74</v>
      </c>
      <c r="BQ729" t="s">
        <v>74</v>
      </c>
      <c r="BR729" t="s">
        <v>97</v>
      </c>
      <c r="BS729" t="s">
        <v>10510</v>
      </c>
      <c r="BT729" t="str">
        <f>HYPERLINK("https%3A%2F%2Fwww.webofscience.com%2Fwos%2Fwoscc%2Ffull-record%2FWOS:000232145200005","View Full Record in Web of Science")</f>
        <v>View Full Record in Web of Science</v>
      </c>
    </row>
    <row r="730" spans="1:72" x14ac:dyDescent="0.15">
      <c r="A730" t="s">
        <v>72</v>
      </c>
      <c r="B730" t="s">
        <v>10511</v>
      </c>
      <c r="C730" t="s">
        <v>74</v>
      </c>
      <c r="D730" t="s">
        <v>74</v>
      </c>
      <c r="E730" t="s">
        <v>74</v>
      </c>
      <c r="F730" t="s">
        <v>10511</v>
      </c>
      <c r="G730" t="s">
        <v>74</v>
      </c>
      <c r="H730" t="s">
        <v>74</v>
      </c>
      <c r="I730" t="s">
        <v>10512</v>
      </c>
      <c r="J730" t="s">
        <v>10492</v>
      </c>
      <c r="K730" t="s">
        <v>74</v>
      </c>
      <c r="L730" t="s">
        <v>74</v>
      </c>
      <c r="M730" t="s">
        <v>77</v>
      </c>
      <c r="N730" t="s">
        <v>495</v>
      </c>
      <c r="O730" t="s">
        <v>10493</v>
      </c>
      <c r="P730" t="s">
        <v>10494</v>
      </c>
      <c r="Q730" t="s">
        <v>1926</v>
      </c>
      <c r="R730" t="s">
        <v>74</v>
      </c>
      <c r="S730" t="s">
        <v>74</v>
      </c>
      <c r="T730" t="s">
        <v>10513</v>
      </c>
      <c r="U730" t="s">
        <v>10514</v>
      </c>
      <c r="V730" t="s">
        <v>10515</v>
      </c>
      <c r="W730" t="s">
        <v>4109</v>
      </c>
      <c r="X730" t="s">
        <v>671</v>
      </c>
      <c r="Y730" t="s">
        <v>2635</v>
      </c>
      <c r="Z730" t="s">
        <v>10516</v>
      </c>
      <c r="AA730" t="s">
        <v>10517</v>
      </c>
      <c r="AB730" t="s">
        <v>10518</v>
      </c>
      <c r="AC730" t="s">
        <v>74</v>
      </c>
      <c r="AD730" t="s">
        <v>74</v>
      </c>
      <c r="AE730" t="s">
        <v>74</v>
      </c>
      <c r="AF730" t="s">
        <v>74</v>
      </c>
      <c r="AG730">
        <v>54</v>
      </c>
      <c r="AH730">
        <v>38</v>
      </c>
      <c r="AI730">
        <v>39</v>
      </c>
      <c r="AJ730">
        <v>0</v>
      </c>
      <c r="AK730">
        <v>5</v>
      </c>
      <c r="AL730" t="s">
        <v>10503</v>
      </c>
      <c r="AM730" t="s">
        <v>739</v>
      </c>
      <c r="AN730" t="s">
        <v>10504</v>
      </c>
      <c r="AO730" t="s">
        <v>10505</v>
      </c>
      <c r="AP730" t="s">
        <v>74</v>
      </c>
      <c r="AQ730" t="s">
        <v>74</v>
      </c>
      <c r="AR730" t="s">
        <v>10506</v>
      </c>
      <c r="AS730" t="s">
        <v>10507</v>
      </c>
      <c r="AT730" t="s">
        <v>74</v>
      </c>
      <c r="AU730">
        <v>2005</v>
      </c>
      <c r="AV730">
        <v>57</v>
      </c>
      <c r="AW730">
        <v>8</v>
      </c>
      <c r="AX730" t="s">
        <v>74</v>
      </c>
      <c r="AY730" t="s">
        <v>74</v>
      </c>
      <c r="AZ730" t="s">
        <v>74</v>
      </c>
      <c r="BA730" t="s">
        <v>74</v>
      </c>
      <c r="BB730">
        <v>767</v>
      </c>
      <c r="BC730">
        <v>780</v>
      </c>
      <c r="BD730" t="s">
        <v>74</v>
      </c>
      <c r="BE730" t="s">
        <v>10519</v>
      </c>
      <c r="BF730" t="str">
        <f>HYPERLINK("http://dx.doi.org/10.1186/BF03351856","http://dx.doi.org/10.1186/BF03351856")</f>
        <v>http://dx.doi.org/10.1186/BF03351856</v>
      </c>
      <c r="BG730" t="s">
        <v>74</v>
      </c>
      <c r="BH730" t="s">
        <v>74</v>
      </c>
      <c r="BI730">
        <v>14</v>
      </c>
      <c r="BJ730" t="s">
        <v>537</v>
      </c>
      <c r="BK730" t="s">
        <v>514</v>
      </c>
      <c r="BL730" t="s">
        <v>307</v>
      </c>
      <c r="BM730" t="s">
        <v>10509</v>
      </c>
      <c r="BN730" t="s">
        <v>74</v>
      </c>
      <c r="BO730" t="s">
        <v>1776</v>
      </c>
      <c r="BP730" t="s">
        <v>74</v>
      </c>
      <c r="BQ730" t="s">
        <v>74</v>
      </c>
      <c r="BR730" t="s">
        <v>97</v>
      </c>
      <c r="BS730" t="s">
        <v>10520</v>
      </c>
      <c r="BT730" t="str">
        <f>HYPERLINK("https%3A%2F%2Fwww.webofscience.com%2Fwos%2Fwoscc%2Ffull-record%2FWOS:000232145200010","View Full Record in Web of Science")</f>
        <v>View Full Record in Web of Science</v>
      </c>
    </row>
    <row r="731" spans="1:72" x14ac:dyDescent="0.15">
      <c r="A731" t="s">
        <v>72</v>
      </c>
      <c r="B731" t="s">
        <v>10521</v>
      </c>
      <c r="C731" t="s">
        <v>74</v>
      </c>
      <c r="D731" t="s">
        <v>74</v>
      </c>
      <c r="E731" t="s">
        <v>74</v>
      </c>
      <c r="F731" t="s">
        <v>10521</v>
      </c>
      <c r="G731" t="s">
        <v>74</v>
      </c>
      <c r="H731" t="s">
        <v>74</v>
      </c>
      <c r="I731" t="s">
        <v>10522</v>
      </c>
      <c r="J731" t="s">
        <v>6008</v>
      </c>
      <c r="K731" t="s">
        <v>74</v>
      </c>
      <c r="L731" t="s">
        <v>74</v>
      </c>
      <c r="M731" t="s">
        <v>77</v>
      </c>
      <c r="N731" t="s">
        <v>78</v>
      </c>
      <c r="O731" t="s">
        <v>74</v>
      </c>
      <c r="P731" t="s">
        <v>74</v>
      </c>
      <c r="Q731" t="s">
        <v>74</v>
      </c>
      <c r="R731" t="s">
        <v>74</v>
      </c>
      <c r="S731" t="s">
        <v>74</v>
      </c>
      <c r="T731" t="s">
        <v>10523</v>
      </c>
      <c r="U731" t="s">
        <v>10524</v>
      </c>
      <c r="V731" t="s">
        <v>10525</v>
      </c>
      <c r="W731" t="s">
        <v>10526</v>
      </c>
      <c r="X731" t="s">
        <v>10527</v>
      </c>
      <c r="Y731" t="s">
        <v>10528</v>
      </c>
      <c r="Z731" t="s">
        <v>10529</v>
      </c>
      <c r="AA731" t="s">
        <v>10530</v>
      </c>
      <c r="AB731" t="s">
        <v>10531</v>
      </c>
      <c r="AC731" t="s">
        <v>74</v>
      </c>
      <c r="AD731" t="s">
        <v>74</v>
      </c>
      <c r="AE731" t="s">
        <v>74</v>
      </c>
      <c r="AF731" t="s">
        <v>74</v>
      </c>
      <c r="AG731">
        <v>41</v>
      </c>
      <c r="AH731">
        <v>353</v>
      </c>
      <c r="AI731">
        <v>427</v>
      </c>
      <c r="AJ731">
        <v>1</v>
      </c>
      <c r="AK731">
        <v>165</v>
      </c>
      <c r="AL731" t="s">
        <v>472</v>
      </c>
      <c r="AM731" t="s">
        <v>473</v>
      </c>
      <c r="AN731" t="s">
        <v>474</v>
      </c>
      <c r="AO731" t="s">
        <v>6019</v>
      </c>
      <c r="AP731" t="s">
        <v>6020</v>
      </c>
      <c r="AQ731" t="s">
        <v>74</v>
      </c>
      <c r="AR731" t="s">
        <v>6008</v>
      </c>
      <c r="AS731" t="s">
        <v>3248</v>
      </c>
      <c r="AT731" t="s">
        <v>9676</v>
      </c>
      <c r="AU731">
        <v>2005</v>
      </c>
      <c r="AV731">
        <v>86</v>
      </c>
      <c r="AW731">
        <v>1</v>
      </c>
      <c r="AX731" t="s">
        <v>74</v>
      </c>
      <c r="AY731" t="s">
        <v>74</v>
      </c>
      <c r="AZ731" t="s">
        <v>74</v>
      </c>
      <c r="BA731" t="s">
        <v>74</v>
      </c>
      <c r="BB731">
        <v>56</v>
      </c>
      <c r="BC731">
        <v>62</v>
      </c>
      <c r="BD731" t="s">
        <v>74</v>
      </c>
      <c r="BE731" t="s">
        <v>10532</v>
      </c>
      <c r="BF731" t="str">
        <f>HYPERLINK("http://dx.doi.org/10.1890/04-0668","http://dx.doi.org/10.1890/04-0668")</f>
        <v>http://dx.doi.org/10.1890/04-0668</v>
      </c>
      <c r="BG731" t="s">
        <v>74</v>
      </c>
      <c r="BH731" t="s">
        <v>74</v>
      </c>
      <c r="BI731">
        <v>7</v>
      </c>
      <c r="BJ731" t="s">
        <v>3248</v>
      </c>
      <c r="BK731" t="s">
        <v>95</v>
      </c>
      <c r="BL731" t="s">
        <v>219</v>
      </c>
      <c r="BM731" t="s">
        <v>10533</v>
      </c>
      <c r="BN731" t="s">
        <v>74</v>
      </c>
      <c r="BO731" t="s">
        <v>74</v>
      </c>
      <c r="BP731" t="s">
        <v>74</v>
      </c>
      <c r="BQ731" t="s">
        <v>74</v>
      </c>
      <c r="BR731" t="s">
        <v>97</v>
      </c>
      <c r="BS731" t="s">
        <v>10534</v>
      </c>
      <c r="BT731" t="str">
        <f>HYPERLINK("https%3A%2F%2Fwww.webofscience.com%2Fwos%2Fwoscc%2Ffull-record%2FWOS:000226791700007","View Full Record in Web of Science")</f>
        <v>View Full Record in Web of Science</v>
      </c>
    </row>
    <row r="732" spans="1:72" x14ac:dyDescent="0.15">
      <c r="A732" t="s">
        <v>72</v>
      </c>
      <c r="B732" t="s">
        <v>10535</v>
      </c>
      <c r="C732" t="s">
        <v>74</v>
      </c>
      <c r="D732" t="s">
        <v>74</v>
      </c>
      <c r="E732" t="s">
        <v>74</v>
      </c>
      <c r="F732" t="s">
        <v>10535</v>
      </c>
      <c r="G732" t="s">
        <v>74</v>
      </c>
      <c r="H732" t="s">
        <v>74</v>
      </c>
      <c r="I732" t="s">
        <v>10536</v>
      </c>
      <c r="J732" t="s">
        <v>10537</v>
      </c>
      <c r="K732" t="s">
        <v>74</v>
      </c>
      <c r="L732" t="s">
        <v>74</v>
      </c>
      <c r="M732" t="s">
        <v>77</v>
      </c>
      <c r="N732" t="s">
        <v>78</v>
      </c>
      <c r="O732" t="s">
        <v>74</v>
      </c>
      <c r="P732" t="s">
        <v>74</v>
      </c>
      <c r="Q732" t="s">
        <v>74</v>
      </c>
      <c r="R732" t="s">
        <v>74</v>
      </c>
      <c r="S732" t="s">
        <v>74</v>
      </c>
      <c r="T732" t="s">
        <v>74</v>
      </c>
      <c r="U732" t="s">
        <v>10538</v>
      </c>
      <c r="V732" t="s">
        <v>10539</v>
      </c>
      <c r="W732" t="s">
        <v>10540</v>
      </c>
      <c r="X732" t="s">
        <v>10541</v>
      </c>
      <c r="Y732" t="s">
        <v>10542</v>
      </c>
      <c r="Z732" t="s">
        <v>10543</v>
      </c>
      <c r="AA732" t="s">
        <v>74</v>
      </c>
      <c r="AB732" t="s">
        <v>74</v>
      </c>
      <c r="AC732" t="s">
        <v>74</v>
      </c>
      <c r="AD732" t="s">
        <v>74</v>
      </c>
      <c r="AE732" t="s">
        <v>74</v>
      </c>
      <c r="AF732" t="s">
        <v>74</v>
      </c>
      <c r="AG732">
        <v>53</v>
      </c>
      <c r="AH732">
        <v>7</v>
      </c>
      <c r="AI732">
        <v>7</v>
      </c>
      <c r="AJ732">
        <v>0</v>
      </c>
      <c r="AK732">
        <v>5</v>
      </c>
      <c r="AL732" t="s">
        <v>10544</v>
      </c>
      <c r="AM732" t="s">
        <v>10545</v>
      </c>
      <c r="AN732" t="s">
        <v>10546</v>
      </c>
      <c r="AO732" t="s">
        <v>10547</v>
      </c>
      <c r="AP732" t="s">
        <v>10548</v>
      </c>
      <c r="AQ732" t="s">
        <v>74</v>
      </c>
      <c r="AR732" t="s">
        <v>10549</v>
      </c>
      <c r="AS732" t="s">
        <v>10550</v>
      </c>
      <c r="AT732" t="s">
        <v>74</v>
      </c>
      <c r="AU732">
        <v>2005</v>
      </c>
      <c r="AV732">
        <v>105</v>
      </c>
      <c r="AW732">
        <v>2</v>
      </c>
      <c r="AX732" t="s">
        <v>74</v>
      </c>
      <c r="AY732" t="s">
        <v>74</v>
      </c>
      <c r="AZ732" t="s">
        <v>74</v>
      </c>
      <c r="BA732" t="s">
        <v>74</v>
      </c>
      <c r="BB732">
        <v>137</v>
      </c>
      <c r="BC732">
        <v>144</v>
      </c>
      <c r="BD732" t="s">
        <v>74</v>
      </c>
      <c r="BE732" t="s">
        <v>10551</v>
      </c>
      <c r="BF732" t="str">
        <f>HYPERLINK("http://dx.doi.org/10.1071/MU03061","http://dx.doi.org/10.1071/MU03061")</f>
        <v>http://dx.doi.org/10.1071/MU03061</v>
      </c>
      <c r="BG732" t="s">
        <v>74</v>
      </c>
      <c r="BH732" t="s">
        <v>74</v>
      </c>
      <c r="BI732">
        <v>8</v>
      </c>
      <c r="BJ732" t="s">
        <v>10552</v>
      </c>
      <c r="BK732" t="s">
        <v>95</v>
      </c>
      <c r="BL732" t="s">
        <v>2430</v>
      </c>
      <c r="BM732" t="s">
        <v>10553</v>
      </c>
      <c r="BN732" t="s">
        <v>74</v>
      </c>
      <c r="BO732" t="s">
        <v>74</v>
      </c>
      <c r="BP732" t="s">
        <v>74</v>
      </c>
      <c r="BQ732" t="s">
        <v>74</v>
      </c>
      <c r="BR732" t="s">
        <v>97</v>
      </c>
      <c r="BS732" t="s">
        <v>10554</v>
      </c>
      <c r="BT732" t="str">
        <f>HYPERLINK("https%3A%2F%2Fwww.webofscience.com%2Fwos%2Fwoscc%2Ffull-record%2FWOS:000230143600005","View Full Record in Web of Science")</f>
        <v>View Full Record in Web of Science</v>
      </c>
    </row>
    <row r="733" spans="1:72" x14ac:dyDescent="0.15">
      <c r="A733" t="s">
        <v>72</v>
      </c>
      <c r="B733" t="s">
        <v>10555</v>
      </c>
      <c r="C733" t="s">
        <v>74</v>
      </c>
      <c r="D733" t="s">
        <v>74</v>
      </c>
      <c r="E733" t="s">
        <v>74</v>
      </c>
      <c r="F733" t="s">
        <v>10555</v>
      </c>
      <c r="G733" t="s">
        <v>74</v>
      </c>
      <c r="H733" t="s">
        <v>74</v>
      </c>
      <c r="I733" t="s">
        <v>10556</v>
      </c>
      <c r="J733" t="s">
        <v>10557</v>
      </c>
      <c r="K733" t="s">
        <v>74</v>
      </c>
      <c r="L733" t="s">
        <v>74</v>
      </c>
      <c r="M733" t="s">
        <v>77</v>
      </c>
      <c r="N733" t="s">
        <v>78</v>
      </c>
      <c r="O733" t="s">
        <v>74</v>
      </c>
      <c r="P733" t="s">
        <v>74</v>
      </c>
      <c r="Q733" t="s">
        <v>74</v>
      </c>
      <c r="R733" t="s">
        <v>74</v>
      </c>
      <c r="S733" t="s">
        <v>74</v>
      </c>
      <c r="T733" t="s">
        <v>10558</v>
      </c>
      <c r="U733" t="s">
        <v>10559</v>
      </c>
      <c r="V733" t="s">
        <v>10560</v>
      </c>
      <c r="W733" t="s">
        <v>10561</v>
      </c>
      <c r="X733" t="s">
        <v>10562</v>
      </c>
      <c r="Y733" t="s">
        <v>10563</v>
      </c>
      <c r="Z733" t="s">
        <v>10564</v>
      </c>
      <c r="AA733" t="s">
        <v>74</v>
      </c>
      <c r="AB733" t="s">
        <v>74</v>
      </c>
      <c r="AC733" t="s">
        <v>74</v>
      </c>
      <c r="AD733" t="s">
        <v>74</v>
      </c>
      <c r="AE733" t="s">
        <v>74</v>
      </c>
      <c r="AF733" t="s">
        <v>74</v>
      </c>
      <c r="AG733">
        <v>52</v>
      </c>
      <c r="AH733">
        <v>10</v>
      </c>
      <c r="AI733">
        <v>12</v>
      </c>
      <c r="AJ733">
        <v>4</v>
      </c>
      <c r="AK733">
        <v>13</v>
      </c>
      <c r="AL733" t="s">
        <v>10565</v>
      </c>
      <c r="AM733" t="s">
        <v>10566</v>
      </c>
      <c r="AN733" t="s">
        <v>10567</v>
      </c>
      <c r="AO733" t="s">
        <v>10568</v>
      </c>
      <c r="AP733" t="s">
        <v>10569</v>
      </c>
      <c r="AQ733" t="s">
        <v>74</v>
      </c>
      <c r="AR733" t="s">
        <v>10570</v>
      </c>
      <c r="AS733" t="s">
        <v>10571</v>
      </c>
      <c r="AT733" t="s">
        <v>74</v>
      </c>
      <c r="AU733">
        <v>2005</v>
      </c>
      <c r="AV733">
        <v>2</v>
      </c>
      <c r="AW733">
        <v>3</v>
      </c>
      <c r="AX733" t="s">
        <v>74</v>
      </c>
      <c r="AY733" t="s">
        <v>74</v>
      </c>
      <c r="AZ733" t="s">
        <v>74</v>
      </c>
      <c r="BA733" t="s">
        <v>74</v>
      </c>
      <c r="BB733">
        <v>215</v>
      </c>
      <c r="BC733">
        <v>226</v>
      </c>
      <c r="BD733" t="s">
        <v>74</v>
      </c>
      <c r="BE733" t="s">
        <v>10572</v>
      </c>
      <c r="BF733" t="str">
        <f>HYPERLINK("http://dx.doi.org/10.1071/EN04075","http://dx.doi.org/10.1071/EN04075")</f>
        <v>http://dx.doi.org/10.1071/EN04075</v>
      </c>
      <c r="BG733" t="s">
        <v>74</v>
      </c>
      <c r="BH733" t="s">
        <v>74</v>
      </c>
      <c r="BI733">
        <v>12</v>
      </c>
      <c r="BJ733" t="s">
        <v>8310</v>
      </c>
      <c r="BK733" t="s">
        <v>95</v>
      </c>
      <c r="BL733" t="s">
        <v>8311</v>
      </c>
      <c r="BM733" t="s">
        <v>10573</v>
      </c>
      <c r="BN733" t="s">
        <v>74</v>
      </c>
      <c r="BO733" t="s">
        <v>74</v>
      </c>
      <c r="BP733" t="s">
        <v>74</v>
      </c>
      <c r="BQ733" t="s">
        <v>74</v>
      </c>
      <c r="BR733" t="s">
        <v>97</v>
      </c>
      <c r="BS733" t="s">
        <v>10574</v>
      </c>
      <c r="BT733" t="str">
        <f>HYPERLINK("https%3A%2F%2Fwww.webofscience.com%2Fwos%2Fwoscc%2Ffull-record%2FWOS:000235491600011","View Full Record in Web of Science")</f>
        <v>View Full Record in Web of Science</v>
      </c>
    </row>
    <row r="734" spans="1:72" x14ac:dyDescent="0.15">
      <c r="A734" t="s">
        <v>72</v>
      </c>
      <c r="B734" t="s">
        <v>10575</v>
      </c>
      <c r="C734" t="s">
        <v>74</v>
      </c>
      <c r="D734" t="s">
        <v>74</v>
      </c>
      <c r="E734" t="s">
        <v>74</v>
      </c>
      <c r="F734" t="s">
        <v>10575</v>
      </c>
      <c r="G734" t="s">
        <v>74</v>
      </c>
      <c r="H734" t="s">
        <v>74</v>
      </c>
      <c r="I734" t="s">
        <v>10576</v>
      </c>
      <c r="J734" t="s">
        <v>1493</v>
      </c>
      <c r="K734" t="s">
        <v>74</v>
      </c>
      <c r="L734" t="s">
        <v>74</v>
      </c>
      <c r="M734" t="s">
        <v>77</v>
      </c>
      <c r="N734" t="s">
        <v>78</v>
      </c>
      <c r="O734" t="s">
        <v>74</v>
      </c>
      <c r="P734" t="s">
        <v>74</v>
      </c>
      <c r="Q734" t="s">
        <v>74</v>
      </c>
      <c r="R734" t="s">
        <v>74</v>
      </c>
      <c r="S734" t="s">
        <v>74</v>
      </c>
      <c r="T734" t="s">
        <v>74</v>
      </c>
      <c r="U734" t="s">
        <v>10577</v>
      </c>
      <c r="V734" t="s">
        <v>10578</v>
      </c>
      <c r="W734" t="s">
        <v>10579</v>
      </c>
      <c r="X734" t="s">
        <v>10580</v>
      </c>
      <c r="Y734" t="s">
        <v>10581</v>
      </c>
      <c r="Z734" t="s">
        <v>10582</v>
      </c>
      <c r="AA734" t="s">
        <v>10583</v>
      </c>
      <c r="AB734" t="s">
        <v>10584</v>
      </c>
      <c r="AC734" t="s">
        <v>74</v>
      </c>
      <c r="AD734" t="s">
        <v>74</v>
      </c>
      <c r="AE734" t="s">
        <v>74</v>
      </c>
      <c r="AF734" t="s">
        <v>74</v>
      </c>
      <c r="AG734">
        <v>74</v>
      </c>
      <c r="AH734">
        <v>27</v>
      </c>
      <c r="AI734">
        <v>28</v>
      </c>
      <c r="AJ734">
        <v>0</v>
      </c>
      <c r="AK734">
        <v>25</v>
      </c>
      <c r="AL734" t="s">
        <v>472</v>
      </c>
      <c r="AM734" t="s">
        <v>473</v>
      </c>
      <c r="AN734" t="s">
        <v>474</v>
      </c>
      <c r="AO734" t="s">
        <v>1502</v>
      </c>
      <c r="AP734" t="s">
        <v>1503</v>
      </c>
      <c r="AQ734" t="s">
        <v>74</v>
      </c>
      <c r="AR734" t="s">
        <v>1504</v>
      </c>
      <c r="AS734" t="s">
        <v>1505</v>
      </c>
      <c r="AT734" t="s">
        <v>9676</v>
      </c>
      <c r="AU734">
        <v>2005</v>
      </c>
      <c r="AV734">
        <v>7</v>
      </c>
      <c r="AW734">
        <v>1</v>
      </c>
      <c r="AX734" t="s">
        <v>74</v>
      </c>
      <c r="AY734" t="s">
        <v>74</v>
      </c>
      <c r="AZ734" t="s">
        <v>74</v>
      </c>
      <c r="BA734" t="s">
        <v>74</v>
      </c>
      <c r="BB734">
        <v>22</v>
      </c>
      <c r="BC734">
        <v>33</v>
      </c>
      <c r="BD734" t="s">
        <v>74</v>
      </c>
      <c r="BE734" t="s">
        <v>10585</v>
      </c>
      <c r="BF734" t="str">
        <f>HYPERLINK("http://dx.doi.org/10.1111/j.1462-2920.2004.00661.x","http://dx.doi.org/10.1111/j.1462-2920.2004.00661.x")</f>
        <v>http://dx.doi.org/10.1111/j.1462-2920.2004.00661.x</v>
      </c>
      <c r="BG734" t="s">
        <v>74</v>
      </c>
      <c r="BH734" t="s">
        <v>74</v>
      </c>
      <c r="BI734">
        <v>12</v>
      </c>
      <c r="BJ734" t="s">
        <v>1507</v>
      </c>
      <c r="BK734" t="s">
        <v>95</v>
      </c>
      <c r="BL734" t="s">
        <v>1507</v>
      </c>
      <c r="BM734" t="s">
        <v>10586</v>
      </c>
      <c r="BN734">
        <v>15643932</v>
      </c>
      <c r="BO734" t="s">
        <v>74</v>
      </c>
      <c r="BP734" t="s">
        <v>74</v>
      </c>
      <c r="BQ734" t="s">
        <v>74</v>
      </c>
      <c r="BR734" t="s">
        <v>97</v>
      </c>
      <c r="BS734" t="s">
        <v>10587</v>
      </c>
      <c r="BT734" t="str">
        <f>HYPERLINK("https%3A%2F%2Fwww.webofscience.com%2Fwos%2Fwoscc%2Ffull-record%2FWOS:000225955800003","View Full Record in Web of Science")</f>
        <v>View Full Record in Web of Science</v>
      </c>
    </row>
    <row r="735" spans="1:72" x14ac:dyDescent="0.15">
      <c r="A735" t="s">
        <v>72</v>
      </c>
      <c r="B735" t="s">
        <v>10588</v>
      </c>
      <c r="C735" t="s">
        <v>74</v>
      </c>
      <c r="D735" t="s">
        <v>74</v>
      </c>
      <c r="E735" t="s">
        <v>74</v>
      </c>
      <c r="F735" t="s">
        <v>10588</v>
      </c>
      <c r="G735" t="s">
        <v>74</v>
      </c>
      <c r="H735" t="s">
        <v>74</v>
      </c>
      <c r="I735" t="s">
        <v>10589</v>
      </c>
      <c r="J735" t="s">
        <v>1532</v>
      </c>
      <c r="K735" t="s">
        <v>74</v>
      </c>
      <c r="L735" t="s">
        <v>74</v>
      </c>
      <c r="M735" t="s">
        <v>77</v>
      </c>
      <c r="N735" t="s">
        <v>78</v>
      </c>
      <c r="O735" t="s">
        <v>74</v>
      </c>
      <c r="P735" t="s">
        <v>74</v>
      </c>
      <c r="Q735" t="s">
        <v>74</v>
      </c>
      <c r="R735" t="s">
        <v>74</v>
      </c>
      <c r="S735" t="s">
        <v>74</v>
      </c>
      <c r="T735" t="s">
        <v>10590</v>
      </c>
      <c r="U735" t="s">
        <v>10591</v>
      </c>
      <c r="V735" t="s">
        <v>10592</v>
      </c>
      <c r="W735" t="s">
        <v>10593</v>
      </c>
      <c r="X735" t="s">
        <v>10594</v>
      </c>
      <c r="Y735" t="s">
        <v>10595</v>
      </c>
      <c r="Z735" t="s">
        <v>10596</v>
      </c>
      <c r="AA735" t="s">
        <v>10597</v>
      </c>
      <c r="AB735" t="s">
        <v>10598</v>
      </c>
      <c r="AC735" t="s">
        <v>74</v>
      </c>
      <c r="AD735" t="s">
        <v>74</v>
      </c>
      <c r="AE735" t="s">
        <v>74</v>
      </c>
      <c r="AF735" t="s">
        <v>74</v>
      </c>
      <c r="AG735">
        <v>30</v>
      </c>
      <c r="AH735">
        <v>30</v>
      </c>
      <c r="AI735">
        <v>30</v>
      </c>
      <c r="AJ735">
        <v>0</v>
      </c>
      <c r="AK735">
        <v>23</v>
      </c>
      <c r="AL735" t="s">
        <v>472</v>
      </c>
      <c r="AM735" t="s">
        <v>473</v>
      </c>
      <c r="AN735" t="s">
        <v>474</v>
      </c>
      <c r="AO735" t="s">
        <v>1542</v>
      </c>
      <c r="AP735" t="s">
        <v>1543</v>
      </c>
      <c r="AQ735" t="s">
        <v>74</v>
      </c>
      <c r="AR735" t="s">
        <v>1544</v>
      </c>
      <c r="AS735" t="s">
        <v>1545</v>
      </c>
      <c r="AT735" t="s">
        <v>9676</v>
      </c>
      <c r="AU735">
        <v>2005</v>
      </c>
      <c r="AV735">
        <v>24</v>
      </c>
      <c r="AW735">
        <v>1</v>
      </c>
      <c r="AX735" t="s">
        <v>74</v>
      </c>
      <c r="AY735" t="s">
        <v>74</v>
      </c>
      <c r="AZ735" t="s">
        <v>74</v>
      </c>
      <c r="BA735" t="s">
        <v>74</v>
      </c>
      <c r="BB735">
        <v>125</v>
      </c>
      <c r="BC735">
        <v>128</v>
      </c>
      <c r="BD735" t="s">
        <v>74</v>
      </c>
      <c r="BE735" t="s">
        <v>10599</v>
      </c>
      <c r="BF735" t="str">
        <f>HYPERLINK("http://dx.doi.org/10.1897/03-446.1","http://dx.doi.org/10.1897/03-446.1")</f>
        <v>http://dx.doi.org/10.1897/03-446.1</v>
      </c>
      <c r="BG735" t="s">
        <v>74</v>
      </c>
      <c r="BH735" t="s">
        <v>74</v>
      </c>
      <c r="BI735">
        <v>4</v>
      </c>
      <c r="BJ735" t="s">
        <v>1547</v>
      </c>
      <c r="BK735" t="s">
        <v>95</v>
      </c>
      <c r="BL735" t="s">
        <v>1548</v>
      </c>
      <c r="BM735" t="s">
        <v>10600</v>
      </c>
      <c r="BN735">
        <v>15683175</v>
      </c>
      <c r="BO735" t="s">
        <v>74</v>
      </c>
      <c r="BP735" t="s">
        <v>74</v>
      </c>
      <c r="BQ735" t="s">
        <v>74</v>
      </c>
      <c r="BR735" t="s">
        <v>97</v>
      </c>
      <c r="BS735" t="s">
        <v>10601</v>
      </c>
      <c r="BT735" t="str">
        <f>HYPERLINK("https%3A%2F%2Fwww.webofscience.com%2Fwos%2Fwoscc%2Ffull-record%2FWOS:000225824600016","View Full Record in Web of Science")</f>
        <v>View Full Record in Web of Science</v>
      </c>
    </row>
    <row r="736" spans="1:72" x14ac:dyDescent="0.15">
      <c r="A736" t="s">
        <v>72</v>
      </c>
      <c r="B736" t="s">
        <v>10602</v>
      </c>
      <c r="C736" t="s">
        <v>74</v>
      </c>
      <c r="D736" t="s">
        <v>74</v>
      </c>
      <c r="E736" t="s">
        <v>74</v>
      </c>
      <c r="F736" t="s">
        <v>10602</v>
      </c>
      <c r="G736" t="s">
        <v>74</v>
      </c>
      <c r="H736" t="s">
        <v>74</v>
      </c>
      <c r="I736" t="s">
        <v>10603</v>
      </c>
      <c r="J736" t="s">
        <v>4453</v>
      </c>
      <c r="K736" t="s">
        <v>74</v>
      </c>
      <c r="L736" t="s">
        <v>74</v>
      </c>
      <c r="M736" t="s">
        <v>77</v>
      </c>
      <c r="N736" t="s">
        <v>78</v>
      </c>
      <c r="O736" t="s">
        <v>74</v>
      </c>
      <c r="P736" t="s">
        <v>74</v>
      </c>
      <c r="Q736" t="s">
        <v>74</v>
      </c>
      <c r="R736" t="s">
        <v>74</v>
      </c>
      <c r="S736" t="s">
        <v>74</v>
      </c>
      <c r="T736" t="s">
        <v>10604</v>
      </c>
      <c r="U736" t="s">
        <v>10605</v>
      </c>
      <c r="V736" t="s">
        <v>10606</v>
      </c>
      <c r="W736" t="s">
        <v>10607</v>
      </c>
      <c r="X736" t="s">
        <v>10608</v>
      </c>
      <c r="Y736" t="s">
        <v>10609</v>
      </c>
      <c r="Z736" t="s">
        <v>10610</v>
      </c>
      <c r="AA736" t="s">
        <v>74</v>
      </c>
      <c r="AB736" t="s">
        <v>10611</v>
      </c>
      <c r="AC736" t="s">
        <v>74</v>
      </c>
      <c r="AD736" t="s">
        <v>74</v>
      </c>
      <c r="AE736" t="s">
        <v>74</v>
      </c>
      <c r="AF736" t="s">
        <v>74</v>
      </c>
      <c r="AG736">
        <v>36</v>
      </c>
      <c r="AH736">
        <v>12</v>
      </c>
      <c r="AI736">
        <v>14</v>
      </c>
      <c r="AJ736">
        <v>2</v>
      </c>
      <c r="AK736">
        <v>20</v>
      </c>
      <c r="AL736" t="s">
        <v>7833</v>
      </c>
      <c r="AM736" t="s">
        <v>739</v>
      </c>
      <c r="AN736" t="s">
        <v>3414</v>
      </c>
      <c r="AO736" t="s">
        <v>4461</v>
      </c>
      <c r="AP736" t="s">
        <v>10612</v>
      </c>
      <c r="AQ736" t="s">
        <v>74</v>
      </c>
      <c r="AR736" t="s">
        <v>4462</v>
      </c>
      <c r="AS736" t="s">
        <v>4463</v>
      </c>
      <c r="AT736" t="s">
        <v>9676</v>
      </c>
      <c r="AU736">
        <v>2005</v>
      </c>
      <c r="AV736">
        <v>62</v>
      </c>
      <c r="AW736" t="s">
        <v>442</v>
      </c>
      <c r="AX736" t="s">
        <v>74</v>
      </c>
      <c r="AY736" t="s">
        <v>74</v>
      </c>
      <c r="AZ736" t="s">
        <v>74</v>
      </c>
      <c r="BA736" t="s">
        <v>74</v>
      </c>
      <c r="BB736">
        <v>205</v>
      </c>
      <c r="BC736">
        <v>215</v>
      </c>
      <c r="BD736" t="s">
        <v>74</v>
      </c>
      <c r="BE736" t="s">
        <v>10613</v>
      </c>
      <c r="BF736" t="str">
        <f>HYPERLINK("http://dx.doi.org/10.1016/j.ecss.2004.08.018","http://dx.doi.org/10.1016/j.ecss.2004.08.018")</f>
        <v>http://dx.doi.org/10.1016/j.ecss.2004.08.018</v>
      </c>
      <c r="BG736" t="s">
        <v>74</v>
      </c>
      <c r="BH736" t="s">
        <v>74</v>
      </c>
      <c r="BI736">
        <v>11</v>
      </c>
      <c r="BJ736" t="s">
        <v>3689</v>
      </c>
      <c r="BK736" t="s">
        <v>95</v>
      </c>
      <c r="BL736" t="s">
        <v>3689</v>
      </c>
      <c r="BM736" t="s">
        <v>10614</v>
      </c>
      <c r="BN736" t="s">
        <v>74</v>
      </c>
      <c r="BO736" t="s">
        <v>74</v>
      </c>
      <c r="BP736" t="s">
        <v>74</v>
      </c>
      <c r="BQ736" t="s">
        <v>74</v>
      </c>
      <c r="BR736" t="s">
        <v>97</v>
      </c>
      <c r="BS736" t="s">
        <v>10615</v>
      </c>
      <c r="BT736" t="str">
        <f>HYPERLINK("https%3A%2F%2Fwww.webofscience.com%2Fwos%2Fwoscc%2Ffull-record%2FWOS:000226399900017","View Full Record in Web of Science")</f>
        <v>View Full Record in Web of Science</v>
      </c>
    </row>
    <row r="737" spans="1:72" x14ac:dyDescent="0.15">
      <c r="A737" t="s">
        <v>72</v>
      </c>
      <c r="B737" t="s">
        <v>10616</v>
      </c>
      <c r="C737" t="s">
        <v>74</v>
      </c>
      <c r="D737" t="s">
        <v>74</v>
      </c>
      <c r="E737" t="s">
        <v>74</v>
      </c>
      <c r="F737" t="s">
        <v>10616</v>
      </c>
      <c r="G737" t="s">
        <v>74</v>
      </c>
      <c r="H737" t="s">
        <v>74</v>
      </c>
      <c r="I737" t="s">
        <v>10617</v>
      </c>
      <c r="J737" t="s">
        <v>10618</v>
      </c>
      <c r="K737" t="s">
        <v>74</v>
      </c>
      <c r="L737" t="s">
        <v>74</v>
      </c>
      <c r="M737" t="s">
        <v>77</v>
      </c>
      <c r="N737" t="s">
        <v>249</v>
      </c>
      <c r="O737" t="s">
        <v>74</v>
      </c>
      <c r="P737" t="s">
        <v>74</v>
      </c>
      <c r="Q737" t="s">
        <v>74</v>
      </c>
      <c r="R737" t="s">
        <v>74</v>
      </c>
      <c r="S737" t="s">
        <v>74</v>
      </c>
      <c r="T737" t="s">
        <v>74</v>
      </c>
      <c r="U737" t="s">
        <v>10619</v>
      </c>
      <c r="V737" t="s">
        <v>74</v>
      </c>
      <c r="W737" t="s">
        <v>10620</v>
      </c>
      <c r="X737" t="s">
        <v>10621</v>
      </c>
      <c r="Y737" t="s">
        <v>74</v>
      </c>
      <c r="Z737" t="s">
        <v>74</v>
      </c>
      <c r="AA737" t="s">
        <v>74</v>
      </c>
      <c r="AB737" t="s">
        <v>74</v>
      </c>
      <c r="AC737" t="s">
        <v>74</v>
      </c>
      <c r="AD737" t="s">
        <v>74</v>
      </c>
      <c r="AE737" t="s">
        <v>74</v>
      </c>
      <c r="AF737" t="s">
        <v>74</v>
      </c>
      <c r="AG737">
        <v>58</v>
      </c>
      <c r="AH737">
        <v>2</v>
      </c>
      <c r="AI737">
        <v>3</v>
      </c>
      <c r="AJ737">
        <v>1</v>
      </c>
      <c r="AK737">
        <v>12</v>
      </c>
      <c r="AL737" t="s">
        <v>8303</v>
      </c>
      <c r="AM737" t="s">
        <v>1813</v>
      </c>
      <c r="AN737" t="s">
        <v>8304</v>
      </c>
      <c r="AO737" t="s">
        <v>10622</v>
      </c>
      <c r="AP737" t="s">
        <v>10623</v>
      </c>
      <c r="AQ737" t="s">
        <v>74</v>
      </c>
      <c r="AR737" t="s">
        <v>10624</v>
      </c>
      <c r="AS737" t="s">
        <v>10625</v>
      </c>
      <c r="AT737" t="s">
        <v>74</v>
      </c>
      <c r="AU737">
        <v>2005</v>
      </c>
      <c r="AV737">
        <v>130</v>
      </c>
      <c r="AW737" t="s">
        <v>74</v>
      </c>
      <c r="AX737" t="s">
        <v>74</v>
      </c>
      <c r="AY737" t="s">
        <v>74</v>
      </c>
      <c r="AZ737" t="s">
        <v>74</v>
      </c>
      <c r="BA737" t="s">
        <v>74</v>
      </c>
      <c r="BB737">
        <v>125</v>
      </c>
      <c r="BC737">
        <v>151</v>
      </c>
      <c r="BD737" t="s">
        <v>74</v>
      </c>
      <c r="BE737" t="s">
        <v>10626</v>
      </c>
      <c r="BF737" t="str">
        <f>HYPERLINK("http://dx.doi.org/10.1039/b507787g","http://dx.doi.org/10.1039/b507787g")</f>
        <v>http://dx.doi.org/10.1039/b507787g</v>
      </c>
      <c r="BG737" t="s">
        <v>74</v>
      </c>
      <c r="BH737" t="s">
        <v>74</v>
      </c>
      <c r="BI737">
        <v>27</v>
      </c>
      <c r="BJ737" t="s">
        <v>4060</v>
      </c>
      <c r="BK737" t="s">
        <v>95</v>
      </c>
      <c r="BL737" t="s">
        <v>4061</v>
      </c>
      <c r="BM737" t="s">
        <v>10627</v>
      </c>
      <c r="BN737" t="s">
        <v>74</v>
      </c>
      <c r="BO737" t="s">
        <v>74</v>
      </c>
      <c r="BP737" t="s">
        <v>74</v>
      </c>
      <c r="BQ737" t="s">
        <v>74</v>
      </c>
      <c r="BR737" t="s">
        <v>97</v>
      </c>
      <c r="BS737" t="s">
        <v>10628</v>
      </c>
      <c r="BT737" t="str">
        <f>HYPERLINK("https%3A%2F%2Fwww.webofscience.com%2Fwos%2Fwoscc%2Ffull-record%2FWOS:000231804100008","View Full Record in Web of Science")</f>
        <v>View Full Record in Web of Science</v>
      </c>
    </row>
    <row r="738" spans="1:72" x14ac:dyDescent="0.15">
      <c r="A738" t="s">
        <v>72</v>
      </c>
      <c r="B738" t="s">
        <v>10629</v>
      </c>
      <c r="C738" t="s">
        <v>74</v>
      </c>
      <c r="D738" t="s">
        <v>74</v>
      </c>
      <c r="E738" t="s">
        <v>74</v>
      </c>
      <c r="F738" t="s">
        <v>10629</v>
      </c>
      <c r="G738" t="s">
        <v>74</v>
      </c>
      <c r="H738" t="s">
        <v>74</v>
      </c>
      <c r="I738" t="s">
        <v>10630</v>
      </c>
      <c r="J738" t="s">
        <v>7942</v>
      </c>
      <c r="K738" t="s">
        <v>74</v>
      </c>
      <c r="L738" t="s">
        <v>74</v>
      </c>
      <c r="M738" t="s">
        <v>77</v>
      </c>
      <c r="N738" t="s">
        <v>78</v>
      </c>
      <c r="O738" t="s">
        <v>74</v>
      </c>
      <c r="P738" t="s">
        <v>74</v>
      </c>
      <c r="Q738" t="s">
        <v>74</v>
      </c>
      <c r="R738" t="s">
        <v>74</v>
      </c>
      <c r="S738" t="s">
        <v>74</v>
      </c>
      <c r="T738" t="s">
        <v>10631</v>
      </c>
      <c r="U738" t="s">
        <v>10632</v>
      </c>
      <c r="V738" t="s">
        <v>10633</v>
      </c>
      <c r="W738" t="s">
        <v>10634</v>
      </c>
      <c r="X738" t="s">
        <v>10635</v>
      </c>
      <c r="Y738" t="s">
        <v>10636</v>
      </c>
      <c r="Z738" t="s">
        <v>10637</v>
      </c>
      <c r="AA738" t="s">
        <v>10638</v>
      </c>
      <c r="AB738" t="s">
        <v>10639</v>
      </c>
      <c r="AC738" t="s">
        <v>74</v>
      </c>
      <c r="AD738" t="s">
        <v>74</v>
      </c>
      <c r="AE738" t="s">
        <v>74</v>
      </c>
      <c r="AF738" t="s">
        <v>74</v>
      </c>
      <c r="AG738">
        <v>34</v>
      </c>
      <c r="AH738">
        <v>54</v>
      </c>
      <c r="AI738">
        <v>60</v>
      </c>
      <c r="AJ738">
        <v>0</v>
      </c>
      <c r="AK738">
        <v>12</v>
      </c>
      <c r="AL738" t="s">
        <v>472</v>
      </c>
      <c r="AM738" t="s">
        <v>473</v>
      </c>
      <c r="AN738" t="s">
        <v>474</v>
      </c>
      <c r="AO738" t="s">
        <v>7951</v>
      </c>
      <c r="AP738" t="s">
        <v>7952</v>
      </c>
      <c r="AQ738" t="s">
        <v>74</v>
      </c>
      <c r="AR738" t="s">
        <v>7953</v>
      </c>
      <c r="AS738" t="s">
        <v>7954</v>
      </c>
      <c r="AT738" t="s">
        <v>9676</v>
      </c>
      <c r="AU738">
        <v>2005</v>
      </c>
      <c r="AV738">
        <v>272</v>
      </c>
      <c r="AW738">
        <v>2</v>
      </c>
      <c r="AX738" t="s">
        <v>74</v>
      </c>
      <c r="AY738" t="s">
        <v>74</v>
      </c>
      <c r="AZ738" t="s">
        <v>74</v>
      </c>
      <c r="BA738" t="s">
        <v>74</v>
      </c>
      <c r="BB738">
        <v>482</v>
      </c>
      <c r="BC738">
        <v>492</v>
      </c>
      <c r="BD738" t="s">
        <v>74</v>
      </c>
      <c r="BE738" t="s">
        <v>10640</v>
      </c>
      <c r="BF738" t="str">
        <f>HYPERLINK("http://dx.doi.org/10.1111/j.1742-4658.2004.04490.x","http://dx.doi.org/10.1111/j.1742-4658.2004.04490.x")</f>
        <v>http://dx.doi.org/10.1111/j.1742-4658.2004.04490.x</v>
      </c>
      <c r="BG738" t="s">
        <v>74</v>
      </c>
      <c r="BH738" t="s">
        <v>74</v>
      </c>
      <c r="BI738">
        <v>11</v>
      </c>
      <c r="BJ738" t="s">
        <v>6322</v>
      </c>
      <c r="BK738" t="s">
        <v>95</v>
      </c>
      <c r="BL738" t="s">
        <v>6322</v>
      </c>
      <c r="BM738" t="s">
        <v>10641</v>
      </c>
      <c r="BN738">
        <v>15654886</v>
      </c>
      <c r="BO738" t="s">
        <v>74</v>
      </c>
      <c r="BP738" t="s">
        <v>74</v>
      </c>
      <c r="BQ738" t="s">
        <v>74</v>
      </c>
      <c r="BR738" t="s">
        <v>97</v>
      </c>
      <c r="BS738" t="s">
        <v>10642</v>
      </c>
      <c r="BT738" t="str">
        <f>HYPERLINK("https%3A%2F%2Fwww.webofscience.com%2Fwos%2Fwoscc%2Ffull-record%2FWOS:000227359200017","View Full Record in Web of Science")</f>
        <v>View Full Record in Web of Science</v>
      </c>
    </row>
    <row r="739" spans="1:72" x14ac:dyDescent="0.15">
      <c r="A739" t="s">
        <v>72</v>
      </c>
      <c r="B739" t="s">
        <v>10643</v>
      </c>
      <c r="C739" t="s">
        <v>74</v>
      </c>
      <c r="D739" t="s">
        <v>74</v>
      </c>
      <c r="E739" t="s">
        <v>74</v>
      </c>
      <c r="F739" t="s">
        <v>10643</v>
      </c>
      <c r="G739" t="s">
        <v>74</v>
      </c>
      <c r="H739" t="s">
        <v>74</v>
      </c>
      <c r="I739" t="s">
        <v>10644</v>
      </c>
      <c r="J739" t="s">
        <v>1553</v>
      </c>
      <c r="K739" t="s">
        <v>74</v>
      </c>
      <c r="L739" t="s">
        <v>74</v>
      </c>
      <c r="M739" t="s">
        <v>77</v>
      </c>
      <c r="N739" t="s">
        <v>78</v>
      </c>
      <c r="O739" t="s">
        <v>74</v>
      </c>
      <c r="P739" t="s">
        <v>74</v>
      </c>
      <c r="Q739" t="s">
        <v>74</v>
      </c>
      <c r="R739" t="s">
        <v>74</v>
      </c>
      <c r="S739" t="s">
        <v>74</v>
      </c>
      <c r="T739" t="s">
        <v>10645</v>
      </c>
      <c r="U739" t="s">
        <v>10646</v>
      </c>
      <c r="V739" t="s">
        <v>10647</v>
      </c>
      <c r="W739" t="s">
        <v>10648</v>
      </c>
      <c r="X739" t="s">
        <v>349</v>
      </c>
      <c r="Y739" t="s">
        <v>10649</v>
      </c>
      <c r="Z739" t="s">
        <v>10650</v>
      </c>
      <c r="AA739" t="s">
        <v>10651</v>
      </c>
      <c r="AB739" t="s">
        <v>10652</v>
      </c>
      <c r="AC739" t="s">
        <v>74</v>
      </c>
      <c r="AD739" t="s">
        <v>74</v>
      </c>
      <c r="AE739" t="s">
        <v>74</v>
      </c>
      <c r="AF739" t="s">
        <v>74</v>
      </c>
      <c r="AG739">
        <v>49</v>
      </c>
      <c r="AH739">
        <v>156</v>
      </c>
      <c r="AI739">
        <v>167</v>
      </c>
      <c r="AJ739">
        <v>1</v>
      </c>
      <c r="AK739">
        <v>29</v>
      </c>
      <c r="AL739" t="s">
        <v>1580</v>
      </c>
      <c r="AM739" t="s">
        <v>256</v>
      </c>
      <c r="AN739" t="s">
        <v>1581</v>
      </c>
      <c r="AO739" t="s">
        <v>1563</v>
      </c>
      <c r="AP739" t="s">
        <v>1582</v>
      </c>
      <c r="AQ739" t="s">
        <v>74</v>
      </c>
      <c r="AR739" t="s">
        <v>1564</v>
      </c>
      <c r="AS739" t="s">
        <v>1565</v>
      </c>
      <c r="AT739" t="s">
        <v>10653</v>
      </c>
      <c r="AU739">
        <v>2005</v>
      </c>
      <c r="AV739">
        <v>51</v>
      </c>
      <c r="AW739">
        <v>2</v>
      </c>
      <c r="AX739" t="s">
        <v>74</v>
      </c>
      <c r="AY739" t="s">
        <v>74</v>
      </c>
      <c r="AZ739" t="s">
        <v>74</v>
      </c>
      <c r="BA739" t="s">
        <v>74</v>
      </c>
      <c r="BB739">
        <v>265</v>
      </c>
      <c r="BC739">
        <v>277</v>
      </c>
      <c r="BD739" t="s">
        <v>74</v>
      </c>
      <c r="BE739" t="s">
        <v>10654</v>
      </c>
      <c r="BF739" t="str">
        <f>HYPERLINK("http://dx.doi.org/10.1016/j.femsec.2004.09.001","http://dx.doi.org/10.1016/j.femsec.2004.09.001")</f>
        <v>http://dx.doi.org/10.1016/j.femsec.2004.09.001</v>
      </c>
      <c r="BG739" t="s">
        <v>74</v>
      </c>
      <c r="BH739" t="s">
        <v>74</v>
      </c>
      <c r="BI739">
        <v>13</v>
      </c>
      <c r="BJ739" t="s">
        <v>1507</v>
      </c>
      <c r="BK739" t="s">
        <v>95</v>
      </c>
      <c r="BL739" t="s">
        <v>1507</v>
      </c>
      <c r="BM739" t="s">
        <v>10655</v>
      </c>
      <c r="BN739">
        <v>16329875</v>
      </c>
      <c r="BO739" t="s">
        <v>4213</v>
      </c>
      <c r="BP739" t="s">
        <v>74</v>
      </c>
      <c r="BQ739" t="s">
        <v>74</v>
      </c>
      <c r="BR739" t="s">
        <v>97</v>
      </c>
      <c r="BS739" t="s">
        <v>10656</v>
      </c>
      <c r="BT739" t="str">
        <f>HYPERLINK("https%3A%2F%2Fwww.webofscience.com%2Fwos%2Fwoscc%2Ffull-record%2FWOS:000226404100012","View Full Record in Web of Science")</f>
        <v>View Full Record in Web of Science</v>
      </c>
    </row>
    <row r="740" spans="1:72" x14ac:dyDescent="0.15">
      <c r="A740" t="s">
        <v>8867</v>
      </c>
      <c r="B740" t="s">
        <v>10657</v>
      </c>
      <c r="C740" t="s">
        <v>74</v>
      </c>
      <c r="D740" t="s">
        <v>10658</v>
      </c>
      <c r="E740" t="s">
        <v>74</v>
      </c>
      <c r="F740" t="s">
        <v>10657</v>
      </c>
      <c r="G740" t="s">
        <v>74</v>
      </c>
      <c r="H740" t="s">
        <v>74</v>
      </c>
      <c r="I740" t="s">
        <v>10659</v>
      </c>
      <c r="J740" t="s">
        <v>10660</v>
      </c>
      <c r="K740" t="s">
        <v>74</v>
      </c>
      <c r="L740" t="s">
        <v>74</v>
      </c>
      <c r="M740" t="s">
        <v>77</v>
      </c>
      <c r="N740" t="s">
        <v>8873</v>
      </c>
      <c r="O740" t="s">
        <v>10661</v>
      </c>
      <c r="P740" t="s">
        <v>10662</v>
      </c>
      <c r="Q740" t="s">
        <v>10663</v>
      </c>
      <c r="R740" t="s">
        <v>74</v>
      </c>
      <c r="S740" t="s">
        <v>10664</v>
      </c>
      <c r="T740" t="s">
        <v>74</v>
      </c>
      <c r="U740" t="s">
        <v>10665</v>
      </c>
      <c r="V740" t="s">
        <v>10666</v>
      </c>
      <c r="W740" t="s">
        <v>6143</v>
      </c>
      <c r="X740" t="s">
        <v>5999</v>
      </c>
      <c r="Y740" t="s">
        <v>10667</v>
      </c>
      <c r="Z740" t="s">
        <v>74</v>
      </c>
      <c r="AA740" t="s">
        <v>74</v>
      </c>
      <c r="AB740" t="s">
        <v>74</v>
      </c>
      <c r="AC740" t="s">
        <v>74</v>
      </c>
      <c r="AD740" t="s">
        <v>74</v>
      </c>
      <c r="AE740" t="s">
        <v>74</v>
      </c>
      <c r="AF740" t="s">
        <v>74</v>
      </c>
      <c r="AG740">
        <v>22</v>
      </c>
      <c r="AH740">
        <v>0</v>
      </c>
      <c r="AI740">
        <v>0</v>
      </c>
      <c r="AJ740">
        <v>0</v>
      </c>
      <c r="AK740">
        <v>0</v>
      </c>
      <c r="AL740" t="s">
        <v>456</v>
      </c>
      <c r="AM740" t="s">
        <v>436</v>
      </c>
      <c r="AN740" t="s">
        <v>10139</v>
      </c>
      <c r="AO740" t="s">
        <v>74</v>
      </c>
      <c r="AP740" t="s">
        <v>74</v>
      </c>
      <c r="AQ740" t="s">
        <v>10668</v>
      </c>
      <c r="AR740" t="s">
        <v>74</v>
      </c>
      <c r="AS740" t="s">
        <v>74</v>
      </c>
      <c r="AT740" t="s">
        <v>74</v>
      </c>
      <c r="AU740">
        <v>2005</v>
      </c>
      <c r="AV740" t="s">
        <v>74</v>
      </c>
      <c r="AW740" t="s">
        <v>74</v>
      </c>
      <c r="AX740" t="s">
        <v>74</v>
      </c>
      <c r="AY740" t="s">
        <v>74</v>
      </c>
      <c r="AZ740" t="s">
        <v>74</v>
      </c>
      <c r="BA740" t="s">
        <v>74</v>
      </c>
      <c r="BB740">
        <v>54</v>
      </c>
      <c r="BC740">
        <v>63</v>
      </c>
      <c r="BD740" t="s">
        <v>74</v>
      </c>
      <c r="BE740" t="s">
        <v>74</v>
      </c>
      <c r="BF740" t="s">
        <v>74</v>
      </c>
      <c r="BG740" t="s">
        <v>74</v>
      </c>
      <c r="BH740" t="s">
        <v>74</v>
      </c>
      <c r="BI740">
        <v>10</v>
      </c>
      <c r="BJ740" t="s">
        <v>10669</v>
      </c>
      <c r="BK740" t="s">
        <v>8890</v>
      </c>
      <c r="BL740" t="s">
        <v>10670</v>
      </c>
      <c r="BM740" t="s">
        <v>10671</v>
      </c>
      <c r="BN740" t="s">
        <v>74</v>
      </c>
      <c r="BO740" t="s">
        <v>74</v>
      </c>
      <c r="BP740" t="s">
        <v>74</v>
      </c>
      <c r="BQ740" t="s">
        <v>74</v>
      </c>
      <c r="BR740" t="s">
        <v>97</v>
      </c>
      <c r="BS740" t="s">
        <v>10672</v>
      </c>
      <c r="BT740" t="str">
        <f>HYPERLINK("https%3A%2F%2Fwww.webofscience.com%2Fwos%2Fwoscc%2Ffull-record%2FWOS:000228665400009","View Full Record in Web of Science")</f>
        <v>View Full Record in Web of Science</v>
      </c>
    </row>
    <row r="741" spans="1:72" x14ac:dyDescent="0.15">
      <c r="A741" t="s">
        <v>8867</v>
      </c>
      <c r="B741" t="s">
        <v>10673</v>
      </c>
      <c r="C741" t="s">
        <v>74</v>
      </c>
      <c r="D741" t="s">
        <v>74</v>
      </c>
      <c r="E741" t="s">
        <v>10674</v>
      </c>
      <c r="F741" t="s">
        <v>10673</v>
      </c>
      <c r="G741" t="s">
        <v>74</v>
      </c>
      <c r="H741" t="s">
        <v>74</v>
      </c>
      <c r="I741" t="s">
        <v>10675</v>
      </c>
      <c r="J741" t="s">
        <v>10676</v>
      </c>
      <c r="K741" t="s">
        <v>74</v>
      </c>
      <c r="L741" t="s">
        <v>74</v>
      </c>
      <c r="M741" t="s">
        <v>77</v>
      </c>
      <c r="N741" t="s">
        <v>8873</v>
      </c>
      <c r="O741" t="s">
        <v>10677</v>
      </c>
      <c r="P741" t="s">
        <v>10678</v>
      </c>
      <c r="Q741" t="s">
        <v>10679</v>
      </c>
      <c r="R741" t="s">
        <v>74</v>
      </c>
      <c r="S741" t="s">
        <v>10680</v>
      </c>
      <c r="T741" t="s">
        <v>74</v>
      </c>
      <c r="U741" t="s">
        <v>10681</v>
      </c>
      <c r="V741" t="s">
        <v>74</v>
      </c>
      <c r="W741" t="s">
        <v>8879</v>
      </c>
      <c r="X741" t="s">
        <v>8880</v>
      </c>
      <c r="Y741" t="s">
        <v>10682</v>
      </c>
      <c r="Z741" t="s">
        <v>74</v>
      </c>
      <c r="AA741" t="s">
        <v>74</v>
      </c>
      <c r="AB741" t="s">
        <v>74</v>
      </c>
      <c r="AC741" t="s">
        <v>74</v>
      </c>
      <c r="AD741" t="s">
        <v>74</v>
      </c>
      <c r="AE741" t="s">
        <v>74</v>
      </c>
      <c r="AF741" t="s">
        <v>74</v>
      </c>
      <c r="AG741">
        <v>14</v>
      </c>
      <c r="AH741">
        <v>0</v>
      </c>
      <c r="AI741">
        <v>0</v>
      </c>
      <c r="AJ741">
        <v>0</v>
      </c>
      <c r="AK741">
        <v>0</v>
      </c>
      <c r="AL741" t="s">
        <v>10683</v>
      </c>
      <c r="AM741" t="s">
        <v>528</v>
      </c>
      <c r="AN741" t="s">
        <v>10684</v>
      </c>
      <c r="AO741" t="s">
        <v>74</v>
      </c>
      <c r="AP741" t="s">
        <v>74</v>
      </c>
      <c r="AQ741" t="s">
        <v>10685</v>
      </c>
      <c r="AR741" t="s">
        <v>74</v>
      </c>
      <c r="AS741" t="s">
        <v>74</v>
      </c>
      <c r="AT741" t="s">
        <v>74</v>
      </c>
      <c r="AU741">
        <v>2005</v>
      </c>
      <c r="AV741" t="s">
        <v>74</v>
      </c>
      <c r="AW741" t="s">
        <v>74</v>
      </c>
      <c r="AX741" t="s">
        <v>74</v>
      </c>
      <c r="AY741" t="s">
        <v>74</v>
      </c>
      <c r="AZ741" t="s">
        <v>74</v>
      </c>
      <c r="BA741" t="s">
        <v>74</v>
      </c>
      <c r="BB741">
        <v>5</v>
      </c>
      <c r="BC741">
        <v>16</v>
      </c>
      <c r="BD741" t="s">
        <v>74</v>
      </c>
      <c r="BE741" t="s">
        <v>74</v>
      </c>
      <c r="BF741" t="s">
        <v>74</v>
      </c>
      <c r="BG741" t="s">
        <v>74</v>
      </c>
      <c r="BH741" t="s">
        <v>74</v>
      </c>
      <c r="BI741">
        <v>12</v>
      </c>
      <c r="BJ741" t="s">
        <v>10686</v>
      </c>
      <c r="BK741" t="s">
        <v>8890</v>
      </c>
      <c r="BL741" t="s">
        <v>551</v>
      </c>
      <c r="BM741" t="s">
        <v>10687</v>
      </c>
      <c r="BN741" t="s">
        <v>74</v>
      </c>
      <c r="BO741" t="s">
        <v>74</v>
      </c>
      <c r="BP741" t="s">
        <v>74</v>
      </c>
      <c r="BQ741" t="s">
        <v>74</v>
      </c>
      <c r="BR741" t="s">
        <v>97</v>
      </c>
      <c r="BS741" t="s">
        <v>10688</v>
      </c>
      <c r="BT741" t="str">
        <f>HYPERLINK("https%3A%2F%2Fwww.webofscience.com%2Fwos%2Fwoscc%2Ffull-record%2FWOS:000231823200001","View Full Record in Web of Science")</f>
        <v>View Full Record in Web of Science</v>
      </c>
    </row>
    <row r="742" spans="1:72" x14ac:dyDescent="0.15">
      <c r="A742" t="s">
        <v>72</v>
      </c>
      <c r="B742" t="s">
        <v>10689</v>
      </c>
      <c r="C742" t="s">
        <v>74</v>
      </c>
      <c r="D742" t="s">
        <v>74</v>
      </c>
      <c r="E742" t="s">
        <v>74</v>
      </c>
      <c r="F742" t="s">
        <v>10690</v>
      </c>
      <c r="G742" t="s">
        <v>74</v>
      </c>
      <c r="H742" t="s">
        <v>74</v>
      </c>
      <c r="I742" t="s">
        <v>10691</v>
      </c>
      <c r="J742" t="s">
        <v>10692</v>
      </c>
      <c r="K742" t="s">
        <v>74</v>
      </c>
      <c r="L742" t="s">
        <v>74</v>
      </c>
      <c r="M742" t="s">
        <v>77</v>
      </c>
      <c r="N742" t="s">
        <v>78</v>
      </c>
      <c r="O742" t="s">
        <v>74</v>
      </c>
      <c r="P742" t="s">
        <v>74</v>
      </c>
      <c r="Q742" t="s">
        <v>74</v>
      </c>
      <c r="R742" t="s">
        <v>74</v>
      </c>
      <c r="S742" t="s">
        <v>74</v>
      </c>
      <c r="T742" t="s">
        <v>10693</v>
      </c>
      <c r="U742" t="s">
        <v>74</v>
      </c>
      <c r="V742" t="s">
        <v>10694</v>
      </c>
      <c r="W742" t="s">
        <v>10695</v>
      </c>
      <c r="X742" t="s">
        <v>10696</v>
      </c>
      <c r="Y742" t="s">
        <v>10697</v>
      </c>
      <c r="Z742" t="s">
        <v>10698</v>
      </c>
      <c r="AA742" t="s">
        <v>74</v>
      </c>
      <c r="AB742" t="s">
        <v>10699</v>
      </c>
      <c r="AC742" t="s">
        <v>10700</v>
      </c>
      <c r="AD742" t="s">
        <v>10701</v>
      </c>
      <c r="AE742" t="s">
        <v>10702</v>
      </c>
      <c r="AF742" t="s">
        <v>74</v>
      </c>
      <c r="AG742">
        <v>6</v>
      </c>
      <c r="AH742">
        <v>23</v>
      </c>
      <c r="AI742">
        <v>25</v>
      </c>
      <c r="AJ742">
        <v>1</v>
      </c>
      <c r="AK742">
        <v>2</v>
      </c>
      <c r="AL742" t="s">
        <v>394</v>
      </c>
      <c r="AM742" t="s">
        <v>395</v>
      </c>
      <c r="AN742" t="s">
        <v>396</v>
      </c>
      <c r="AO742" t="s">
        <v>10703</v>
      </c>
      <c r="AP742" t="s">
        <v>10704</v>
      </c>
      <c r="AQ742" t="s">
        <v>74</v>
      </c>
      <c r="AR742" t="s">
        <v>10705</v>
      </c>
      <c r="AS742" t="s">
        <v>10706</v>
      </c>
      <c r="AT742" t="s">
        <v>74</v>
      </c>
      <c r="AU742">
        <v>2005</v>
      </c>
      <c r="AV742">
        <v>8</v>
      </c>
      <c r="AW742">
        <v>1</v>
      </c>
      <c r="AX742" t="s">
        <v>74</v>
      </c>
      <c r="AY742" t="s">
        <v>74</v>
      </c>
      <c r="AZ742" t="s">
        <v>74</v>
      </c>
      <c r="BA742" t="s">
        <v>74</v>
      </c>
      <c r="BB742">
        <v>14</v>
      </c>
      <c r="BC742">
        <v>18</v>
      </c>
      <c r="BD742" t="s">
        <v>74</v>
      </c>
      <c r="BE742" t="s">
        <v>10707</v>
      </c>
      <c r="BF742" t="str">
        <f>HYPERLINK("http://dx.doi.org/10.1007/BF02826985","http://dx.doi.org/10.1007/BF02826985")</f>
        <v>http://dx.doi.org/10.1007/BF02826985</v>
      </c>
      <c r="BG742" t="s">
        <v>74</v>
      </c>
      <c r="BH742" t="s">
        <v>74</v>
      </c>
      <c r="BI742">
        <v>5</v>
      </c>
      <c r="BJ742" t="s">
        <v>10708</v>
      </c>
      <c r="BK742" t="s">
        <v>3249</v>
      </c>
      <c r="BL742" t="s">
        <v>10708</v>
      </c>
      <c r="BM742" t="s">
        <v>10709</v>
      </c>
      <c r="BN742" t="s">
        <v>74</v>
      </c>
      <c r="BO742" t="s">
        <v>9127</v>
      </c>
      <c r="BP742" t="s">
        <v>74</v>
      </c>
      <c r="BQ742" t="s">
        <v>74</v>
      </c>
      <c r="BR742" t="s">
        <v>97</v>
      </c>
      <c r="BS742" t="s">
        <v>10710</v>
      </c>
      <c r="BT742" t="str">
        <f>HYPERLINK("https%3A%2F%2Fwww.webofscience.com%2Fwos%2Fwoscc%2Ffull-record%2FWOS:000409806100003","View Full Record in Web of Science")</f>
        <v>View Full Record in Web of Science</v>
      </c>
    </row>
    <row r="743" spans="1:72" x14ac:dyDescent="0.15">
      <c r="A743" t="s">
        <v>72</v>
      </c>
      <c r="B743" t="s">
        <v>10711</v>
      </c>
      <c r="C743" t="s">
        <v>74</v>
      </c>
      <c r="D743" t="s">
        <v>74</v>
      </c>
      <c r="E743" t="s">
        <v>74</v>
      </c>
      <c r="F743" t="s">
        <v>10712</v>
      </c>
      <c r="G743" t="s">
        <v>74</v>
      </c>
      <c r="H743" t="s">
        <v>74</v>
      </c>
      <c r="I743" t="s">
        <v>10713</v>
      </c>
      <c r="J743" t="s">
        <v>10692</v>
      </c>
      <c r="K743" t="s">
        <v>74</v>
      </c>
      <c r="L743" t="s">
        <v>74</v>
      </c>
      <c r="M743" t="s">
        <v>77</v>
      </c>
      <c r="N743" t="s">
        <v>78</v>
      </c>
      <c r="O743" t="s">
        <v>74</v>
      </c>
      <c r="P743" t="s">
        <v>74</v>
      </c>
      <c r="Q743" t="s">
        <v>74</v>
      </c>
      <c r="R743" t="s">
        <v>74</v>
      </c>
      <c r="S743" t="s">
        <v>74</v>
      </c>
      <c r="T743" t="s">
        <v>10714</v>
      </c>
      <c r="U743" t="s">
        <v>74</v>
      </c>
      <c r="V743" t="s">
        <v>10715</v>
      </c>
      <c r="W743" t="s">
        <v>10716</v>
      </c>
      <c r="X743" t="s">
        <v>10717</v>
      </c>
      <c r="Y743" t="s">
        <v>10718</v>
      </c>
      <c r="Z743" t="s">
        <v>10719</v>
      </c>
      <c r="AA743" t="s">
        <v>74</v>
      </c>
      <c r="AB743" t="s">
        <v>74</v>
      </c>
      <c r="AC743" t="s">
        <v>10720</v>
      </c>
      <c r="AD743" t="s">
        <v>10721</v>
      </c>
      <c r="AE743" t="s">
        <v>10722</v>
      </c>
      <c r="AF743" t="s">
        <v>74</v>
      </c>
      <c r="AG743">
        <v>5</v>
      </c>
      <c r="AH743">
        <v>1</v>
      </c>
      <c r="AI743">
        <v>2</v>
      </c>
      <c r="AJ743">
        <v>0</v>
      </c>
      <c r="AK743">
        <v>0</v>
      </c>
      <c r="AL743" t="s">
        <v>394</v>
      </c>
      <c r="AM743" t="s">
        <v>395</v>
      </c>
      <c r="AN743" t="s">
        <v>396</v>
      </c>
      <c r="AO743" t="s">
        <v>10703</v>
      </c>
      <c r="AP743" t="s">
        <v>10704</v>
      </c>
      <c r="AQ743" t="s">
        <v>74</v>
      </c>
      <c r="AR743" t="s">
        <v>10705</v>
      </c>
      <c r="AS743" t="s">
        <v>10706</v>
      </c>
      <c r="AT743" t="s">
        <v>74</v>
      </c>
      <c r="AU743">
        <v>2005</v>
      </c>
      <c r="AV743">
        <v>8</v>
      </c>
      <c r="AW743">
        <v>4</v>
      </c>
      <c r="AX743" t="s">
        <v>74</v>
      </c>
      <c r="AY743" t="s">
        <v>74</v>
      </c>
      <c r="AZ743" t="s">
        <v>74</v>
      </c>
      <c r="BA743" t="s">
        <v>74</v>
      </c>
      <c r="BB743">
        <v>251</v>
      </c>
      <c r="BC743">
        <v>256</v>
      </c>
      <c r="BD743" t="s">
        <v>74</v>
      </c>
      <c r="BE743" t="s">
        <v>10723</v>
      </c>
      <c r="BF743" t="str">
        <f>HYPERLINK("http://dx.doi.org/10.1007/BF02838658","http://dx.doi.org/10.1007/BF02838658")</f>
        <v>http://dx.doi.org/10.1007/BF02838658</v>
      </c>
      <c r="BG743" t="s">
        <v>74</v>
      </c>
      <c r="BH743" t="s">
        <v>74</v>
      </c>
      <c r="BI743">
        <v>6</v>
      </c>
      <c r="BJ743" t="s">
        <v>10708</v>
      </c>
      <c r="BK743" t="s">
        <v>3249</v>
      </c>
      <c r="BL743" t="s">
        <v>10708</v>
      </c>
      <c r="BM743" t="s">
        <v>10724</v>
      </c>
      <c r="BN743" t="s">
        <v>74</v>
      </c>
      <c r="BO743" t="s">
        <v>9127</v>
      </c>
      <c r="BP743" t="s">
        <v>74</v>
      </c>
      <c r="BQ743" t="s">
        <v>74</v>
      </c>
      <c r="BR743" t="s">
        <v>97</v>
      </c>
      <c r="BS743" t="s">
        <v>10725</v>
      </c>
      <c r="BT743" t="str">
        <f>HYPERLINK("https%3A%2F%2Fwww.webofscience.com%2Fwos%2Fwoscc%2Ffull-record%2FWOS:000409808800004","View Full Record in Web of Science")</f>
        <v>View Full Record in Web of Science</v>
      </c>
    </row>
    <row r="744" spans="1:72" x14ac:dyDescent="0.15">
      <c r="A744" t="s">
        <v>72</v>
      </c>
      <c r="B744" t="s">
        <v>10726</v>
      </c>
      <c r="C744" t="s">
        <v>74</v>
      </c>
      <c r="D744" t="s">
        <v>74</v>
      </c>
      <c r="E744" t="s">
        <v>74</v>
      </c>
      <c r="F744" t="s">
        <v>10726</v>
      </c>
      <c r="G744" t="s">
        <v>74</v>
      </c>
      <c r="H744" t="s">
        <v>74</v>
      </c>
      <c r="I744" t="s">
        <v>10727</v>
      </c>
      <c r="J744" t="s">
        <v>10728</v>
      </c>
      <c r="K744" t="s">
        <v>74</v>
      </c>
      <c r="L744" t="s">
        <v>74</v>
      </c>
      <c r="M744" t="s">
        <v>77</v>
      </c>
      <c r="N744" t="s">
        <v>78</v>
      </c>
      <c r="O744" t="s">
        <v>74</v>
      </c>
      <c r="P744" t="s">
        <v>74</v>
      </c>
      <c r="Q744" t="s">
        <v>74</v>
      </c>
      <c r="R744" t="s">
        <v>74</v>
      </c>
      <c r="S744" t="s">
        <v>74</v>
      </c>
      <c r="T744" t="s">
        <v>10729</v>
      </c>
      <c r="U744" t="s">
        <v>10730</v>
      </c>
      <c r="V744" t="s">
        <v>10731</v>
      </c>
      <c r="W744" t="s">
        <v>5663</v>
      </c>
      <c r="X744" t="s">
        <v>1395</v>
      </c>
      <c r="Y744" t="s">
        <v>5664</v>
      </c>
      <c r="Z744" t="s">
        <v>10732</v>
      </c>
      <c r="AA744" t="s">
        <v>5665</v>
      </c>
      <c r="AB744" t="s">
        <v>74</v>
      </c>
      <c r="AC744" t="s">
        <v>74</v>
      </c>
      <c r="AD744" t="s">
        <v>74</v>
      </c>
      <c r="AE744" t="s">
        <v>74</v>
      </c>
      <c r="AF744" t="s">
        <v>74</v>
      </c>
      <c r="AG744">
        <v>37</v>
      </c>
      <c r="AH744">
        <v>12</v>
      </c>
      <c r="AI744">
        <v>14</v>
      </c>
      <c r="AJ744">
        <v>2</v>
      </c>
      <c r="AK744">
        <v>10</v>
      </c>
      <c r="AL744" t="s">
        <v>10733</v>
      </c>
      <c r="AM744" t="s">
        <v>2899</v>
      </c>
      <c r="AN744" t="s">
        <v>10734</v>
      </c>
      <c r="AO744" t="s">
        <v>10735</v>
      </c>
      <c r="AP744" t="s">
        <v>10736</v>
      </c>
      <c r="AQ744" t="s">
        <v>74</v>
      </c>
      <c r="AR744" t="s">
        <v>10737</v>
      </c>
      <c r="AS744" t="s">
        <v>10738</v>
      </c>
      <c r="AT744" t="s">
        <v>74</v>
      </c>
      <c r="AU744">
        <v>2005</v>
      </c>
      <c r="AV744">
        <v>39</v>
      </c>
      <c r="AW744">
        <v>1</v>
      </c>
      <c r="AX744" t="s">
        <v>74</v>
      </c>
      <c r="AY744" t="s">
        <v>74</v>
      </c>
      <c r="AZ744" t="s">
        <v>74</v>
      </c>
      <c r="BA744" t="s">
        <v>74</v>
      </c>
      <c r="BB744">
        <v>47</v>
      </c>
      <c r="BC744">
        <v>59</v>
      </c>
      <c r="BD744" t="s">
        <v>74</v>
      </c>
      <c r="BE744" t="s">
        <v>10739</v>
      </c>
      <c r="BF744" t="str">
        <f>HYPERLINK("http://dx.doi.org/10.2343/geochemj.39.47","http://dx.doi.org/10.2343/geochemj.39.47")</f>
        <v>http://dx.doi.org/10.2343/geochemj.39.47</v>
      </c>
      <c r="BG744" t="s">
        <v>74</v>
      </c>
      <c r="BH744" t="s">
        <v>74</v>
      </c>
      <c r="BI744">
        <v>13</v>
      </c>
      <c r="BJ744" t="s">
        <v>381</v>
      </c>
      <c r="BK744" t="s">
        <v>95</v>
      </c>
      <c r="BL744" t="s">
        <v>381</v>
      </c>
      <c r="BM744" t="s">
        <v>10740</v>
      </c>
      <c r="BN744" t="s">
        <v>74</v>
      </c>
      <c r="BO744" t="s">
        <v>9127</v>
      </c>
      <c r="BP744" t="s">
        <v>74</v>
      </c>
      <c r="BQ744" t="s">
        <v>74</v>
      </c>
      <c r="BR744" t="s">
        <v>97</v>
      </c>
      <c r="BS744" t="s">
        <v>10741</v>
      </c>
      <c r="BT744" t="str">
        <f>HYPERLINK("https%3A%2F%2Fwww.webofscience.com%2Fwos%2Fwoscc%2Ffull-record%2FWOS:000229681900004","View Full Record in Web of Science")</f>
        <v>View Full Record in Web of Science</v>
      </c>
    </row>
    <row r="745" spans="1:72" x14ac:dyDescent="0.15">
      <c r="A745" t="s">
        <v>72</v>
      </c>
      <c r="B745" t="s">
        <v>10742</v>
      </c>
      <c r="C745" t="s">
        <v>74</v>
      </c>
      <c r="D745" t="s">
        <v>74</v>
      </c>
      <c r="E745" t="s">
        <v>74</v>
      </c>
      <c r="F745" t="s">
        <v>10742</v>
      </c>
      <c r="G745" t="s">
        <v>74</v>
      </c>
      <c r="H745" t="s">
        <v>74</v>
      </c>
      <c r="I745" t="s">
        <v>10743</v>
      </c>
      <c r="J745" t="s">
        <v>10744</v>
      </c>
      <c r="K745" t="s">
        <v>74</v>
      </c>
      <c r="L745" t="s">
        <v>74</v>
      </c>
      <c r="M745" t="s">
        <v>77</v>
      </c>
      <c r="N745" t="s">
        <v>78</v>
      </c>
      <c r="O745" t="s">
        <v>74</v>
      </c>
      <c r="P745" t="s">
        <v>74</v>
      </c>
      <c r="Q745" t="s">
        <v>74</v>
      </c>
      <c r="R745" t="s">
        <v>74</v>
      </c>
      <c r="S745" t="s">
        <v>74</v>
      </c>
      <c r="T745" t="s">
        <v>74</v>
      </c>
      <c r="U745" t="s">
        <v>10745</v>
      </c>
      <c r="V745" t="s">
        <v>10746</v>
      </c>
      <c r="W745" t="s">
        <v>10747</v>
      </c>
      <c r="X745" t="s">
        <v>10748</v>
      </c>
      <c r="Y745" t="s">
        <v>10749</v>
      </c>
      <c r="Z745" t="s">
        <v>74</v>
      </c>
      <c r="AA745" t="s">
        <v>10750</v>
      </c>
      <c r="AB745" t="s">
        <v>10751</v>
      </c>
      <c r="AC745" t="s">
        <v>74</v>
      </c>
      <c r="AD745" t="s">
        <v>74</v>
      </c>
      <c r="AE745" t="s">
        <v>74</v>
      </c>
      <c r="AF745" t="s">
        <v>74</v>
      </c>
      <c r="AG745">
        <v>45</v>
      </c>
      <c r="AH745">
        <v>11</v>
      </c>
      <c r="AI745">
        <v>11</v>
      </c>
      <c r="AJ745">
        <v>0</v>
      </c>
      <c r="AK745">
        <v>7</v>
      </c>
      <c r="AL745" t="s">
        <v>394</v>
      </c>
      <c r="AM745" t="s">
        <v>395</v>
      </c>
      <c r="AN745" t="s">
        <v>396</v>
      </c>
      <c r="AO745" t="s">
        <v>10752</v>
      </c>
      <c r="AP745" t="s">
        <v>10753</v>
      </c>
      <c r="AQ745" t="s">
        <v>74</v>
      </c>
      <c r="AR745" t="s">
        <v>10754</v>
      </c>
      <c r="AS745" t="s">
        <v>10755</v>
      </c>
      <c r="AT745" t="s">
        <v>74</v>
      </c>
      <c r="AU745">
        <v>2005</v>
      </c>
      <c r="AV745" t="s">
        <v>10756</v>
      </c>
      <c r="AW745">
        <v>1</v>
      </c>
      <c r="AX745" t="s">
        <v>74</v>
      </c>
      <c r="AY745" t="s">
        <v>74</v>
      </c>
      <c r="AZ745" t="s">
        <v>74</v>
      </c>
      <c r="BA745" t="s">
        <v>74</v>
      </c>
      <c r="BB745">
        <v>51</v>
      </c>
      <c r="BC745">
        <v>66</v>
      </c>
      <c r="BD745" t="s">
        <v>74</v>
      </c>
      <c r="BE745" t="s">
        <v>10757</v>
      </c>
      <c r="BF745" t="str">
        <f>HYPERLINK("http://dx.doi.org/10.1111/j.0435-3676.2005.00244.x","http://dx.doi.org/10.1111/j.0435-3676.2005.00244.x")</f>
        <v>http://dx.doi.org/10.1111/j.0435-3676.2005.00244.x</v>
      </c>
      <c r="BG745" t="s">
        <v>74</v>
      </c>
      <c r="BH745" t="s">
        <v>74</v>
      </c>
      <c r="BI745">
        <v>16</v>
      </c>
      <c r="BJ745" t="s">
        <v>10758</v>
      </c>
      <c r="BK745" t="s">
        <v>95</v>
      </c>
      <c r="BL745" t="s">
        <v>243</v>
      </c>
      <c r="BM745" t="s">
        <v>10759</v>
      </c>
      <c r="BN745" t="s">
        <v>74</v>
      </c>
      <c r="BO745" t="s">
        <v>74</v>
      </c>
      <c r="BP745" t="s">
        <v>74</v>
      </c>
      <c r="BQ745" t="s">
        <v>74</v>
      </c>
      <c r="BR745" t="s">
        <v>97</v>
      </c>
      <c r="BS745" t="s">
        <v>10760</v>
      </c>
      <c r="BT745" t="str">
        <f>HYPERLINK("https%3A%2F%2Fwww.webofscience.com%2Fwos%2Fwoscc%2Ffull-record%2FWOS:000230002700005","View Full Record in Web of Science")</f>
        <v>View Full Record in Web of Science</v>
      </c>
    </row>
    <row r="746" spans="1:72" x14ac:dyDescent="0.15">
      <c r="A746" t="s">
        <v>72</v>
      </c>
      <c r="B746" t="s">
        <v>10761</v>
      </c>
      <c r="C746" t="s">
        <v>74</v>
      </c>
      <c r="D746" t="s">
        <v>74</v>
      </c>
      <c r="E746" t="s">
        <v>74</v>
      </c>
      <c r="F746" t="s">
        <v>10761</v>
      </c>
      <c r="G746" t="s">
        <v>74</v>
      </c>
      <c r="H746" t="s">
        <v>74</v>
      </c>
      <c r="I746" t="s">
        <v>10762</v>
      </c>
      <c r="J746" t="s">
        <v>10744</v>
      </c>
      <c r="K746" t="s">
        <v>74</v>
      </c>
      <c r="L746" t="s">
        <v>74</v>
      </c>
      <c r="M746" t="s">
        <v>77</v>
      </c>
      <c r="N746" t="s">
        <v>78</v>
      </c>
      <c r="O746" t="s">
        <v>74</v>
      </c>
      <c r="P746" t="s">
        <v>74</v>
      </c>
      <c r="Q746" t="s">
        <v>74</v>
      </c>
      <c r="R746" t="s">
        <v>74</v>
      </c>
      <c r="S746" t="s">
        <v>74</v>
      </c>
      <c r="T746" t="s">
        <v>10763</v>
      </c>
      <c r="U746" t="s">
        <v>10764</v>
      </c>
      <c r="V746" t="s">
        <v>10765</v>
      </c>
      <c r="W746" t="s">
        <v>10766</v>
      </c>
      <c r="X746" t="s">
        <v>10767</v>
      </c>
      <c r="Y746" t="s">
        <v>10768</v>
      </c>
      <c r="Z746" t="s">
        <v>74</v>
      </c>
      <c r="AA746" t="s">
        <v>74</v>
      </c>
      <c r="AB746" t="s">
        <v>74</v>
      </c>
      <c r="AC746" t="s">
        <v>74</v>
      </c>
      <c r="AD746" t="s">
        <v>74</v>
      </c>
      <c r="AE746" t="s">
        <v>74</v>
      </c>
      <c r="AF746" t="s">
        <v>74</v>
      </c>
      <c r="AG746">
        <v>40</v>
      </c>
      <c r="AH746">
        <v>83</v>
      </c>
      <c r="AI746">
        <v>95</v>
      </c>
      <c r="AJ746">
        <v>0</v>
      </c>
      <c r="AK746">
        <v>17</v>
      </c>
      <c r="AL746" t="s">
        <v>394</v>
      </c>
      <c r="AM746" t="s">
        <v>395</v>
      </c>
      <c r="AN746" t="s">
        <v>396</v>
      </c>
      <c r="AO746" t="s">
        <v>10752</v>
      </c>
      <c r="AP746" t="s">
        <v>10753</v>
      </c>
      <c r="AQ746" t="s">
        <v>74</v>
      </c>
      <c r="AR746" t="s">
        <v>10754</v>
      </c>
      <c r="AS746" t="s">
        <v>10755</v>
      </c>
      <c r="AT746" t="s">
        <v>74</v>
      </c>
      <c r="AU746">
        <v>2005</v>
      </c>
      <c r="AV746" t="s">
        <v>10756</v>
      </c>
      <c r="AW746">
        <v>1</v>
      </c>
      <c r="AX746" t="s">
        <v>74</v>
      </c>
      <c r="AY746" t="s">
        <v>74</v>
      </c>
      <c r="AZ746" t="s">
        <v>74</v>
      </c>
      <c r="BA746" t="s">
        <v>74</v>
      </c>
      <c r="BB746">
        <v>67</v>
      </c>
      <c r="BC746">
        <v>85</v>
      </c>
      <c r="BD746" t="s">
        <v>74</v>
      </c>
      <c r="BE746" t="s">
        <v>10769</v>
      </c>
      <c r="BF746" t="str">
        <f>HYPERLINK("http://dx.doi.org/10.1111/j.0435-3676.2005.00245.x","http://dx.doi.org/10.1111/j.0435-3676.2005.00245.x")</f>
        <v>http://dx.doi.org/10.1111/j.0435-3676.2005.00245.x</v>
      </c>
      <c r="BG746" t="s">
        <v>74</v>
      </c>
      <c r="BH746" t="s">
        <v>74</v>
      </c>
      <c r="BI746">
        <v>19</v>
      </c>
      <c r="BJ746" t="s">
        <v>10758</v>
      </c>
      <c r="BK746" t="s">
        <v>95</v>
      </c>
      <c r="BL746" t="s">
        <v>243</v>
      </c>
      <c r="BM746" t="s">
        <v>10759</v>
      </c>
      <c r="BN746" t="s">
        <v>74</v>
      </c>
      <c r="BO746" t="s">
        <v>74</v>
      </c>
      <c r="BP746" t="s">
        <v>74</v>
      </c>
      <c r="BQ746" t="s">
        <v>74</v>
      </c>
      <c r="BR746" t="s">
        <v>97</v>
      </c>
      <c r="BS746" t="s">
        <v>10770</v>
      </c>
      <c r="BT746" t="str">
        <f>HYPERLINK("https%3A%2F%2Fwww.webofscience.com%2Fwos%2Fwoscc%2Ffull-record%2FWOS:000230002700006","View Full Record in Web of Science")</f>
        <v>View Full Record in Web of Science</v>
      </c>
    </row>
    <row r="747" spans="1:72" x14ac:dyDescent="0.15">
      <c r="A747" t="s">
        <v>72</v>
      </c>
      <c r="B747" t="s">
        <v>10771</v>
      </c>
      <c r="C747" t="s">
        <v>74</v>
      </c>
      <c r="D747" t="s">
        <v>74</v>
      </c>
      <c r="E747" t="s">
        <v>74</v>
      </c>
      <c r="F747" t="s">
        <v>10771</v>
      </c>
      <c r="G747" t="s">
        <v>74</v>
      </c>
      <c r="H747" t="s">
        <v>74</v>
      </c>
      <c r="I747" t="s">
        <v>10772</v>
      </c>
      <c r="J747" t="s">
        <v>10744</v>
      </c>
      <c r="K747" t="s">
        <v>74</v>
      </c>
      <c r="L747" t="s">
        <v>74</v>
      </c>
      <c r="M747" t="s">
        <v>77</v>
      </c>
      <c r="N747" t="s">
        <v>78</v>
      </c>
      <c r="O747" t="s">
        <v>74</v>
      </c>
      <c r="P747" t="s">
        <v>74</v>
      </c>
      <c r="Q747" t="s">
        <v>74</v>
      </c>
      <c r="R747" t="s">
        <v>74</v>
      </c>
      <c r="S747" t="s">
        <v>74</v>
      </c>
      <c r="T747" t="s">
        <v>10773</v>
      </c>
      <c r="U747" t="s">
        <v>10774</v>
      </c>
      <c r="V747" t="s">
        <v>10775</v>
      </c>
      <c r="W747" t="s">
        <v>10776</v>
      </c>
      <c r="X747" t="s">
        <v>10777</v>
      </c>
      <c r="Y747" t="s">
        <v>10778</v>
      </c>
      <c r="Z747" t="s">
        <v>10779</v>
      </c>
      <c r="AA747" t="s">
        <v>10780</v>
      </c>
      <c r="AB747" t="s">
        <v>10781</v>
      </c>
      <c r="AC747" t="s">
        <v>74</v>
      </c>
      <c r="AD747" t="s">
        <v>74</v>
      </c>
      <c r="AE747" t="s">
        <v>74</v>
      </c>
      <c r="AF747" t="s">
        <v>74</v>
      </c>
      <c r="AG747">
        <v>84</v>
      </c>
      <c r="AH747">
        <v>132</v>
      </c>
      <c r="AI747">
        <v>145</v>
      </c>
      <c r="AJ747">
        <v>0</v>
      </c>
      <c r="AK747">
        <v>11</v>
      </c>
      <c r="AL747" t="s">
        <v>394</v>
      </c>
      <c r="AM747" t="s">
        <v>395</v>
      </c>
      <c r="AN747" t="s">
        <v>396</v>
      </c>
      <c r="AO747" t="s">
        <v>10752</v>
      </c>
      <c r="AP747" t="s">
        <v>10753</v>
      </c>
      <c r="AQ747" t="s">
        <v>74</v>
      </c>
      <c r="AR747" t="s">
        <v>10754</v>
      </c>
      <c r="AS747" t="s">
        <v>10755</v>
      </c>
      <c r="AT747" t="s">
        <v>74</v>
      </c>
      <c r="AU747">
        <v>2005</v>
      </c>
      <c r="AV747" t="s">
        <v>10756</v>
      </c>
      <c r="AW747">
        <v>2</v>
      </c>
      <c r="AX747" t="s">
        <v>74</v>
      </c>
      <c r="AY747" t="s">
        <v>74</v>
      </c>
      <c r="AZ747" t="s">
        <v>74</v>
      </c>
      <c r="BA747" t="s">
        <v>74</v>
      </c>
      <c r="BB747">
        <v>273</v>
      </c>
      <c r="BC747">
        <v>288</v>
      </c>
      <c r="BD747" t="s">
        <v>74</v>
      </c>
      <c r="BE747" t="s">
        <v>10782</v>
      </c>
      <c r="BF747" t="str">
        <f>HYPERLINK("http://dx.doi.org/10.1111/j.0435-3676.2005.00259.x","http://dx.doi.org/10.1111/j.0435-3676.2005.00259.x")</f>
        <v>http://dx.doi.org/10.1111/j.0435-3676.2005.00259.x</v>
      </c>
      <c r="BG747" t="s">
        <v>74</v>
      </c>
      <c r="BH747" t="s">
        <v>74</v>
      </c>
      <c r="BI747">
        <v>16</v>
      </c>
      <c r="BJ747" t="s">
        <v>10758</v>
      </c>
      <c r="BK747" t="s">
        <v>95</v>
      </c>
      <c r="BL747" t="s">
        <v>243</v>
      </c>
      <c r="BM747" t="s">
        <v>10783</v>
      </c>
      <c r="BN747" t="s">
        <v>74</v>
      </c>
      <c r="BO747" t="s">
        <v>74</v>
      </c>
      <c r="BP747" t="s">
        <v>74</v>
      </c>
      <c r="BQ747" t="s">
        <v>74</v>
      </c>
      <c r="BR747" t="s">
        <v>97</v>
      </c>
      <c r="BS747" t="s">
        <v>10784</v>
      </c>
      <c r="BT747" t="str">
        <f>HYPERLINK("https%3A%2F%2Fwww.webofscience.com%2Fwos%2Fwoscc%2Ffull-record%2FWOS:000230361200002","View Full Record in Web of Science")</f>
        <v>View Full Record in Web of Science</v>
      </c>
    </row>
    <row r="748" spans="1:72" x14ac:dyDescent="0.15">
      <c r="A748" t="s">
        <v>72</v>
      </c>
      <c r="B748" t="s">
        <v>10785</v>
      </c>
      <c r="C748" t="s">
        <v>74</v>
      </c>
      <c r="D748" t="s">
        <v>74</v>
      </c>
      <c r="E748" t="s">
        <v>74</v>
      </c>
      <c r="F748" t="s">
        <v>10785</v>
      </c>
      <c r="G748" t="s">
        <v>74</v>
      </c>
      <c r="H748" t="s">
        <v>74</v>
      </c>
      <c r="I748" t="s">
        <v>10786</v>
      </c>
      <c r="J748" t="s">
        <v>10744</v>
      </c>
      <c r="K748" t="s">
        <v>74</v>
      </c>
      <c r="L748" t="s">
        <v>74</v>
      </c>
      <c r="M748" t="s">
        <v>77</v>
      </c>
      <c r="N748" t="s">
        <v>78</v>
      </c>
      <c r="O748" t="s">
        <v>74</v>
      </c>
      <c r="P748" t="s">
        <v>74</v>
      </c>
      <c r="Q748" t="s">
        <v>74</v>
      </c>
      <c r="R748" t="s">
        <v>74</v>
      </c>
      <c r="S748" t="s">
        <v>74</v>
      </c>
      <c r="T748" t="s">
        <v>74</v>
      </c>
      <c r="U748" t="s">
        <v>10787</v>
      </c>
      <c r="V748" t="s">
        <v>10788</v>
      </c>
      <c r="W748" t="s">
        <v>10789</v>
      </c>
      <c r="X748" t="s">
        <v>10790</v>
      </c>
      <c r="Y748" t="s">
        <v>10791</v>
      </c>
      <c r="Z748" t="s">
        <v>10792</v>
      </c>
      <c r="AA748" t="s">
        <v>10793</v>
      </c>
      <c r="AB748" t="s">
        <v>10781</v>
      </c>
      <c r="AC748" t="s">
        <v>74</v>
      </c>
      <c r="AD748" t="s">
        <v>74</v>
      </c>
      <c r="AE748" t="s">
        <v>74</v>
      </c>
      <c r="AF748" t="s">
        <v>74</v>
      </c>
      <c r="AG748">
        <v>71</v>
      </c>
      <c r="AH748">
        <v>166</v>
      </c>
      <c r="AI748">
        <v>181</v>
      </c>
      <c r="AJ748">
        <v>0</v>
      </c>
      <c r="AK748">
        <v>20</v>
      </c>
      <c r="AL748" t="s">
        <v>9778</v>
      </c>
      <c r="AM748" t="s">
        <v>256</v>
      </c>
      <c r="AN748" t="s">
        <v>1611</v>
      </c>
      <c r="AO748" t="s">
        <v>10752</v>
      </c>
      <c r="AP748" t="s">
        <v>74</v>
      </c>
      <c r="AQ748" t="s">
        <v>74</v>
      </c>
      <c r="AR748" t="s">
        <v>10754</v>
      </c>
      <c r="AS748" t="s">
        <v>10755</v>
      </c>
      <c r="AT748" t="s">
        <v>74</v>
      </c>
      <c r="AU748">
        <v>2005</v>
      </c>
      <c r="AV748" t="s">
        <v>10756</v>
      </c>
      <c r="AW748">
        <v>2</v>
      </c>
      <c r="AX748" t="s">
        <v>74</v>
      </c>
      <c r="AY748" t="s">
        <v>74</v>
      </c>
      <c r="AZ748" t="s">
        <v>74</v>
      </c>
      <c r="BA748" t="s">
        <v>74</v>
      </c>
      <c r="BB748">
        <v>289</v>
      </c>
      <c r="BC748">
        <v>312</v>
      </c>
      <c r="BD748" t="s">
        <v>74</v>
      </c>
      <c r="BE748" t="s">
        <v>10794</v>
      </c>
      <c r="BF748" t="str">
        <f>HYPERLINK("http://dx.doi.org/10.1111/j.0435-3676.2005.00260.x","http://dx.doi.org/10.1111/j.0435-3676.2005.00260.x")</f>
        <v>http://dx.doi.org/10.1111/j.0435-3676.2005.00260.x</v>
      </c>
      <c r="BG748" t="s">
        <v>74</v>
      </c>
      <c r="BH748" t="s">
        <v>74</v>
      </c>
      <c r="BI748">
        <v>24</v>
      </c>
      <c r="BJ748" t="s">
        <v>10758</v>
      </c>
      <c r="BK748" t="s">
        <v>95</v>
      </c>
      <c r="BL748" t="s">
        <v>243</v>
      </c>
      <c r="BM748" t="s">
        <v>10783</v>
      </c>
      <c r="BN748" t="s">
        <v>74</v>
      </c>
      <c r="BO748" t="s">
        <v>74</v>
      </c>
      <c r="BP748" t="s">
        <v>74</v>
      </c>
      <c r="BQ748" t="s">
        <v>74</v>
      </c>
      <c r="BR748" t="s">
        <v>97</v>
      </c>
      <c r="BS748" t="s">
        <v>10795</v>
      </c>
      <c r="BT748" t="str">
        <f>HYPERLINK("https%3A%2F%2Fwww.webofscience.com%2Fwos%2Fwoscc%2Ffull-record%2FWOS:000230361200003","View Full Record in Web of Science")</f>
        <v>View Full Record in Web of Science</v>
      </c>
    </row>
    <row r="749" spans="1:72" x14ac:dyDescent="0.15">
      <c r="A749" t="s">
        <v>72</v>
      </c>
      <c r="B749" t="s">
        <v>10796</v>
      </c>
      <c r="C749" t="s">
        <v>74</v>
      </c>
      <c r="D749" t="s">
        <v>74</v>
      </c>
      <c r="E749" t="s">
        <v>74</v>
      </c>
      <c r="F749" t="s">
        <v>10796</v>
      </c>
      <c r="G749" t="s">
        <v>74</v>
      </c>
      <c r="H749" t="s">
        <v>74</v>
      </c>
      <c r="I749" t="s">
        <v>10797</v>
      </c>
      <c r="J749" t="s">
        <v>10744</v>
      </c>
      <c r="K749" t="s">
        <v>74</v>
      </c>
      <c r="L749" t="s">
        <v>74</v>
      </c>
      <c r="M749" t="s">
        <v>77</v>
      </c>
      <c r="N749" t="s">
        <v>78</v>
      </c>
      <c r="O749" t="s">
        <v>74</v>
      </c>
      <c r="P749" t="s">
        <v>74</v>
      </c>
      <c r="Q749" t="s">
        <v>74</v>
      </c>
      <c r="R749" t="s">
        <v>74</v>
      </c>
      <c r="S749" t="s">
        <v>74</v>
      </c>
      <c r="T749" t="s">
        <v>74</v>
      </c>
      <c r="U749" t="s">
        <v>10798</v>
      </c>
      <c r="V749" t="s">
        <v>10799</v>
      </c>
      <c r="W749" t="s">
        <v>10800</v>
      </c>
      <c r="X749" t="s">
        <v>10801</v>
      </c>
      <c r="Y749" t="s">
        <v>10802</v>
      </c>
      <c r="Z749" t="s">
        <v>10803</v>
      </c>
      <c r="AA749" t="s">
        <v>10804</v>
      </c>
      <c r="AB749" t="s">
        <v>10805</v>
      </c>
      <c r="AC749" t="s">
        <v>74</v>
      </c>
      <c r="AD749" t="s">
        <v>74</v>
      </c>
      <c r="AE749" t="s">
        <v>74</v>
      </c>
      <c r="AF749" t="s">
        <v>74</v>
      </c>
      <c r="AG749">
        <v>47</v>
      </c>
      <c r="AH749">
        <v>78</v>
      </c>
      <c r="AI749">
        <v>85</v>
      </c>
      <c r="AJ749">
        <v>0</v>
      </c>
      <c r="AK749">
        <v>10</v>
      </c>
      <c r="AL749" t="s">
        <v>394</v>
      </c>
      <c r="AM749" t="s">
        <v>395</v>
      </c>
      <c r="AN749" t="s">
        <v>396</v>
      </c>
      <c r="AO749" t="s">
        <v>10752</v>
      </c>
      <c r="AP749" t="s">
        <v>10753</v>
      </c>
      <c r="AQ749" t="s">
        <v>74</v>
      </c>
      <c r="AR749" t="s">
        <v>10754</v>
      </c>
      <c r="AS749" t="s">
        <v>10755</v>
      </c>
      <c r="AT749" t="s">
        <v>74</v>
      </c>
      <c r="AU749">
        <v>2005</v>
      </c>
      <c r="AV749" t="s">
        <v>10756</v>
      </c>
      <c r="AW749">
        <v>2</v>
      </c>
      <c r="AX749" t="s">
        <v>74</v>
      </c>
      <c r="AY749" t="s">
        <v>74</v>
      </c>
      <c r="AZ749" t="s">
        <v>74</v>
      </c>
      <c r="BA749" t="s">
        <v>74</v>
      </c>
      <c r="BB749">
        <v>335</v>
      </c>
      <c r="BC749">
        <v>362</v>
      </c>
      <c r="BD749" t="s">
        <v>74</v>
      </c>
      <c r="BE749" t="s">
        <v>10806</v>
      </c>
      <c r="BF749" t="str">
        <f>HYPERLINK("http://dx.doi.org/10.1111/j.0435-3676.2005.00262.x","http://dx.doi.org/10.1111/j.0435-3676.2005.00262.x")</f>
        <v>http://dx.doi.org/10.1111/j.0435-3676.2005.00262.x</v>
      </c>
      <c r="BG749" t="s">
        <v>74</v>
      </c>
      <c r="BH749" t="s">
        <v>74</v>
      </c>
      <c r="BI749">
        <v>28</v>
      </c>
      <c r="BJ749" t="s">
        <v>10758</v>
      </c>
      <c r="BK749" t="s">
        <v>95</v>
      </c>
      <c r="BL749" t="s">
        <v>243</v>
      </c>
      <c r="BM749" t="s">
        <v>10783</v>
      </c>
      <c r="BN749" t="s">
        <v>74</v>
      </c>
      <c r="BO749" t="s">
        <v>74</v>
      </c>
      <c r="BP749" t="s">
        <v>74</v>
      </c>
      <c r="BQ749" t="s">
        <v>74</v>
      </c>
      <c r="BR749" t="s">
        <v>97</v>
      </c>
      <c r="BS749" t="s">
        <v>10807</v>
      </c>
      <c r="BT749" t="str">
        <f>HYPERLINK("https%3A%2F%2Fwww.webofscience.com%2Fwos%2Fwoscc%2Ffull-record%2FWOS:000230361200005","View Full Record in Web of Science")</f>
        <v>View Full Record in Web of Science</v>
      </c>
    </row>
    <row r="750" spans="1:72" x14ac:dyDescent="0.15">
      <c r="A750" t="s">
        <v>72</v>
      </c>
      <c r="B750" t="s">
        <v>10808</v>
      </c>
      <c r="C750" t="s">
        <v>74</v>
      </c>
      <c r="D750" t="s">
        <v>74</v>
      </c>
      <c r="E750" t="s">
        <v>74</v>
      </c>
      <c r="F750" t="s">
        <v>10808</v>
      </c>
      <c r="G750" t="s">
        <v>74</v>
      </c>
      <c r="H750" t="s">
        <v>74</v>
      </c>
      <c r="I750" t="s">
        <v>10809</v>
      </c>
      <c r="J750" t="s">
        <v>10744</v>
      </c>
      <c r="K750" t="s">
        <v>74</v>
      </c>
      <c r="L750" t="s">
        <v>74</v>
      </c>
      <c r="M750" t="s">
        <v>77</v>
      </c>
      <c r="N750" t="s">
        <v>78</v>
      </c>
      <c r="O750" t="s">
        <v>74</v>
      </c>
      <c r="P750" t="s">
        <v>74</v>
      </c>
      <c r="Q750" t="s">
        <v>74</v>
      </c>
      <c r="R750" t="s">
        <v>74</v>
      </c>
      <c r="S750" t="s">
        <v>74</v>
      </c>
      <c r="T750" t="s">
        <v>74</v>
      </c>
      <c r="U750" t="s">
        <v>10810</v>
      </c>
      <c r="V750" t="s">
        <v>10811</v>
      </c>
      <c r="W750" t="s">
        <v>10812</v>
      </c>
      <c r="X750" t="s">
        <v>8538</v>
      </c>
      <c r="Y750" t="s">
        <v>10813</v>
      </c>
      <c r="Z750" t="s">
        <v>10814</v>
      </c>
      <c r="AA750" t="s">
        <v>10815</v>
      </c>
      <c r="AB750" t="s">
        <v>10816</v>
      </c>
      <c r="AC750" t="s">
        <v>74</v>
      </c>
      <c r="AD750" t="s">
        <v>74</v>
      </c>
      <c r="AE750" t="s">
        <v>74</v>
      </c>
      <c r="AF750" t="s">
        <v>74</v>
      </c>
      <c r="AG750">
        <v>20</v>
      </c>
      <c r="AH750">
        <v>117</v>
      </c>
      <c r="AI750">
        <v>121</v>
      </c>
      <c r="AJ750">
        <v>0</v>
      </c>
      <c r="AK750">
        <v>12</v>
      </c>
      <c r="AL750" t="s">
        <v>394</v>
      </c>
      <c r="AM750" t="s">
        <v>395</v>
      </c>
      <c r="AN750" t="s">
        <v>396</v>
      </c>
      <c r="AO750" t="s">
        <v>10752</v>
      </c>
      <c r="AP750" t="s">
        <v>10753</v>
      </c>
      <c r="AQ750" t="s">
        <v>74</v>
      </c>
      <c r="AR750" t="s">
        <v>10754</v>
      </c>
      <c r="AS750" t="s">
        <v>10755</v>
      </c>
      <c r="AT750" t="s">
        <v>74</v>
      </c>
      <c r="AU750">
        <v>2005</v>
      </c>
      <c r="AV750" t="s">
        <v>10756</v>
      </c>
      <c r="AW750">
        <v>2</v>
      </c>
      <c r="AX750" t="s">
        <v>74</v>
      </c>
      <c r="AY750" t="s">
        <v>74</v>
      </c>
      <c r="AZ750" t="s">
        <v>74</v>
      </c>
      <c r="BA750" t="s">
        <v>74</v>
      </c>
      <c r="BB750">
        <v>363</v>
      </c>
      <c r="BC750">
        <v>374</v>
      </c>
      <c r="BD750" t="s">
        <v>74</v>
      </c>
      <c r="BE750" t="s">
        <v>10817</v>
      </c>
      <c r="BF750" t="str">
        <f>HYPERLINK("http://dx.doi.org/10.1111/j.0435-3676.2005.00263.x","http://dx.doi.org/10.1111/j.0435-3676.2005.00263.x")</f>
        <v>http://dx.doi.org/10.1111/j.0435-3676.2005.00263.x</v>
      </c>
      <c r="BG750" t="s">
        <v>74</v>
      </c>
      <c r="BH750" t="s">
        <v>74</v>
      </c>
      <c r="BI750">
        <v>12</v>
      </c>
      <c r="BJ750" t="s">
        <v>10758</v>
      </c>
      <c r="BK750" t="s">
        <v>95</v>
      </c>
      <c r="BL750" t="s">
        <v>243</v>
      </c>
      <c r="BM750" t="s">
        <v>10783</v>
      </c>
      <c r="BN750" t="s">
        <v>74</v>
      </c>
      <c r="BO750" t="s">
        <v>74</v>
      </c>
      <c r="BP750" t="s">
        <v>74</v>
      </c>
      <c r="BQ750" t="s">
        <v>74</v>
      </c>
      <c r="BR750" t="s">
        <v>97</v>
      </c>
      <c r="BS750" t="s">
        <v>10818</v>
      </c>
      <c r="BT750" t="str">
        <f>HYPERLINK("https%3A%2F%2Fwww.webofscience.com%2Fwos%2Fwoscc%2Ffull-record%2FWOS:000230361200006","View Full Record in Web of Science")</f>
        <v>View Full Record in Web of Science</v>
      </c>
    </row>
    <row r="751" spans="1:72" x14ac:dyDescent="0.15">
      <c r="A751" t="s">
        <v>72</v>
      </c>
      <c r="B751" t="s">
        <v>10819</v>
      </c>
      <c r="C751" t="s">
        <v>74</v>
      </c>
      <c r="D751" t="s">
        <v>74</v>
      </c>
      <c r="E751" t="s">
        <v>74</v>
      </c>
      <c r="F751" t="s">
        <v>10819</v>
      </c>
      <c r="G751" t="s">
        <v>74</v>
      </c>
      <c r="H751" t="s">
        <v>74</v>
      </c>
      <c r="I751" t="s">
        <v>10820</v>
      </c>
      <c r="J751" t="s">
        <v>10744</v>
      </c>
      <c r="K751" t="s">
        <v>74</v>
      </c>
      <c r="L751" t="s">
        <v>74</v>
      </c>
      <c r="M751" t="s">
        <v>77</v>
      </c>
      <c r="N751" t="s">
        <v>78</v>
      </c>
      <c r="O751" t="s">
        <v>74</v>
      </c>
      <c r="P751" t="s">
        <v>74</v>
      </c>
      <c r="Q751" t="s">
        <v>74</v>
      </c>
      <c r="R751" t="s">
        <v>74</v>
      </c>
      <c r="S751" t="s">
        <v>74</v>
      </c>
      <c r="T751" t="s">
        <v>74</v>
      </c>
      <c r="U751" t="s">
        <v>10821</v>
      </c>
      <c r="V751" t="s">
        <v>10822</v>
      </c>
      <c r="W751" t="s">
        <v>10823</v>
      </c>
      <c r="X751" t="s">
        <v>10824</v>
      </c>
      <c r="Y751" t="s">
        <v>10825</v>
      </c>
      <c r="Z751" t="s">
        <v>10826</v>
      </c>
      <c r="AA751" t="s">
        <v>10827</v>
      </c>
      <c r="AB751" t="s">
        <v>10828</v>
      </c>
      <c r="AC751" t="s">
        <v>74</v>
      </c>
      <c r="AD751" t="s">
        <v>74</v>
      </c>
      <c r="AE751" t="s">
        <v>74</v>
      </c>
      <c r="AF751" t="s">
        <v>74</v>
      </c>
      <c r="AG751">
        <v>42</v>
      </c>
      <c r="AH751">
        <v>75</v>
      </c>
      <c r="AI751">
        <v>80</v>
      </c>
      <c r="AJ751">
        <v>0</v>
      </c>
      <c r="AK751">
        <v>18</v>
      </c>
      <c r="AL751" t="s">
        <v>394</v>
      </c>
      <c r="AM751" t="s">
        <v>395</v>
      </c>
      <c r="AN751" t="s">
        <v>396</v>
      </c>
      <c r="AO751" t="s">
        <v>10752</v>
      </c>
      <c r="AP751" t="s">
        <v>10753</v>
      </c>
      <c r="AQ751" t="s">
        <v>74</v>
      </c>
      <c r="AR751" t="s">
        <v>10754</v>
      </c>
      <c r="AS751" t="s">
        <v>10755</v>
      </c>
      <c r="AT751" t="s">
        <v>74</v>
      </c>
      <c r="AU751">
        <v>2005</v>
      </c>
      <c r="AV751" t="s">
        <v>10756</v>
      </c>
      <c r="AW751">
        <v>2</v>
      </c>
      <c r="AX751" t="s">
        <v>74</v>
      </c>
      <c r="AY751" t="s">
        <v>74</v>
      </c>
      <c r="AZ751" t="s">
        <v>74</v>
      </c>
      <c r="BA751" t="s">
        <v>74</v>
      </c>
      <c r="BB751">
        <v>375</v>
      </c>
      <c r="BC751">
        <v>391</v>
      </c>
      <c r="BD751" t="s">
        <v>74</v>
      </c>
      <c r="BE751" t="s">
        <v>10829</v>
      </c>
      <c r="BF751" t="str">
        <f>HYPERLINK("http://dx.doi.org/10.1111/j.0435-3676.2005.00264.x","http://dx.doi.org/10.1111/j.0435-3676.2005.00264.x")</f>
        <v>http://dx.doi.org/10.1111/j.0435-3676.2005.00264.x</v>
      </c>
      <c r="BG751" t="s">
        <v>74</v>
      </c>
      <c r="BH751" t="s">
        <v>74</v>
      </c>
      <c r="BI751">
        <v>17</v>
      </c>
      <c r="BJ751" t="s">
        <v>10758</v>
      </c>
      <c r="BK751" t="s">
        <v>95</v>
      </c>
      <c r="BL751" t="s">
        <v>243</v>
      </c>
      <c r="BM751" t="s">
        <v>10783</v>
      </c>
      <c r="BN751" t="s">
        <v>74</v>
      </c>
      <c r="BO751" t="s">
        <v>74</v>
      </c>
      <c r="BP751" t="s">
        <v>74</v>
      </c>
      <c r="BQ751" t="s">
        <v>74</v>
      </c>
      <c r="BR751" t="s">
        <v>97</v>
      </c>
      <c r="BS751" t="s">
        <v>10830</v>
      </c>
      <c r="BT751" t="str">
        <f>HYPERLINK("https%3A%2F%2Fwww.webofscience.com%2Fwos%2Fwoscc%2Ffull-record%2FWOS:000230361200007","View Full Record in Web of Science")</f>
        <v>View Full Record in Web of Science</v>
      </c>
    </row>
    <row r="752" spans="1:72" x14ac:dyDescent="0.15">
      <c r="A752" t="s">
        <v>72</v>
      </c>
      <c r="B752" t="s">
        <v>10831</v>
      </c>
      <c r="C752" t="s">
        <v>74</v>
      </c>
      <c r="D752" t="s">
        <v>74</v>
      </c>
      <c r="E752" t="s">
        <v>74</v>
      </c>
      <c r="F752" t="s">
        <v>10831</v>
      </c>
      <c r="G752" t="s">
        <v>74</v>
      </c>
      <c r="H752" t="s">
        <v>74</v>
      </c>
      <c r="I752" t="s">
        <v>10832</v>
      </c>
      <c r="J752" t="s">
        <v>10744</v>
      </c>
      <c r="K752" t="s">
        <v>74</v>
      </c>
      <c r="L752" t="s">
        <v>74</v>
      </c>
      <c r="M752" t="s">
        <v>77</v>
      </c>
      <c r="N752" t="s">
        <v>78</v>
      </c>
      <c r="O752" t="s">
        <v>74</v>
      </c>
      <c r="P752" t="s">
        <v>74</v>
      </c>
      <c r="Q752" t="s">
        <v>74</v>
      </c>
      <c r="R752" t="s">
        <v>74</v>
      </c>
      <c r="S752" t="s">
        <v>74</v>
      </c>
      <c r="T752" t="s">
        <v>10833</v>
      </c>
      <c r="U752" t="s">
        <v>10834</v>
      </c>
      <c r="V752" t="s">
        <v>10835</v>
      </c>
      <c r="W752" t="s">
        <v>10836</v>
      </c>
      <c r="X752" t="s">
        <v>10837</v>
      </c>
      <c r="Y752" t="s">
        <v>10813</v>
      </c>
      <c r="Z752" t="s">
        <v>10838</v>
      </c>
      <c r="AA752" t="s">
        <v>10839</v>
      </c>
      <c r="AB752" t="s">
        <v>10840</v>
      </c>
      <c r="AC752" t="s">
        <v>74</v>
      </c>
      <c r="AD752" t="s">
        <v>74</v>
      </c>
      <c r="AE752" t="s">
        <v>74</v>
      </c>
      <c r="AF752" t="s">
        <v>74</v>
      </c>
      <c r="AG752">
        <v>36</v>
      </c>
      <c r="AH752">
        <v>45</v>
      </c>
      <c r="AI752">
        <v>49</v>
      </c>
      <c r="AJ752">
        <v>0</v>
      </c>
      <c r="AK752">
        <v>8</v>
      </c>
      <c r="AL752" t="s">
        <v>394</v>
      </c>
      <c r="AM752" t="s">
        <v>395</v>
      </c>
      <c r="AN752" t="s">
        <v>396</v>
      </c>
      <c r="AO752" t="s">
        <v>10752</v>
      </c>
      <c r="AP752" t="s">
        <v>10753</v>
      </c>
      <c r="AQ752" t="s">
        <v>74</v>
      </c>
      <c r="AR752" t="s">
        <v>10754</v>
      </c>
      <c r="AS752" t="s">
        <v>10755</v>
      </c>
      <c r="AT752" t="s">
        <v>74</v>
      </c>
      <c r="AU752">
        <v>2005</v>
      </c>
      <c r="AV752" t="s">
        <v>10756</v>
      </c>
      <c r="AW752">
        <v>2</v>
      </c>
      <c r="AX752" t="s">
        <v>74</v>
      </c>
      <c r="AY752" t="s">
        <v>74</v>
      </c>
      <c r="AZ752" t="s">
        <v>74</v>
      </c>
      <c r="BA752" t="s">
        <v>74</v>
      </c>
      <c r="BB752">
        <v>403</v>
      </c>
      <c r="BC752">
        <v>408</v>
      </c>
      <c r="BD752" t="s">
        <v>74</v>
      </c>
      <c r="BE752" t="s">
        <v>10841</v>
      </c>
      <c r="BF752" t="str">
        <f>HYPERLINK("http://dx.doi.org/10.1111/j.0435-3676.2005.00266.x","http://dx.doi.org/10.1111/j.0435-3676.2005.00266.x")</f>
        <v>http://dx.doi.org/10.1111/j.0435-3676.2005.00266.x</v>
      </c>
      <c r="BG752" t="s">
        <v>74</v>
      </c>
      <c r="BH752" t="s">
        <v>74</v>
      </c>
      <c r="BI752">
        <v>6</v>
      </c>
      <c r="BJ752" t="s">
        <v>10758</v>
      </c>
      <c r="BK752" t="s">
        <v>95</v>
      </c>
      <c r="BL752" t="s">
        <v>243</v>
      </c>
      <c r="BM752" t="s">
        <v>10783</v>
      </c>
      <c r="BN752" t="s">
        <v>74</v>
      </c>
      <c r="BO752" t="s">
        <v>74</v>
      </c>
      <c r="BP752" t="s">
        <v>74</v>
      </c>
      <c r="BQ752" t="s">
        <v>74</v>
      </c>
      <c r="BR752" t="s">
        <v>97</v>
      </c>
      <c r="BS752" t="s">
        <v>10842</v>
      </c>
      <c r="BT752" t="str">
        <f>HYPERLINK("https%3A%2F%2Fwww.webofscience.com%2Fwos%2Fwoscc%2Ffull-record%2FWOS:000230361200009","View Full Record in Web of Science")</f>
        <v>View Full Record in Web of Science</v>
      </c>
    </row>
    <row r="753" spans="1:72" x14ac:dyDescent="0.15">
      <c r="A753" t="s">
        <v>72</v>
      </c>
      <c r="B753" t="s">
        <v>10843</v>
      </c>
      <c r="C753" t="s">
        <v>74</v>
      </c>
      <c r="D753" t="s">
        <v>74</v>
      </c>
      <c r="E753" t="s">
        <v>74</v>
      </c>
      <c r="F753" t="s">
        <v>10843</v>
      </c>
      <c r="G753" t="s">
        <v>74</v>
      </c>
      <c r="H753" t="s">
        <v>74</v>
      </c>
      <c r="I753" t="s">
        <v>10844</v>
      </c>
      <c r="J753" t="s">
        <v>10845</v>
      </c>
      <c r="K753" t="s">
        <v>74</v>
      </c>
      <c r="L753" t="s">
        <v>74</v>
      </c>
      <c r="M753" t="s">
        <v>77</v>
      </c>
      <c r="N753" t="s">
        <v>78</v>
      </c>
      <c r="O753" t="s">
        <v>74</v>
      </c>
      <c r="P753" t="s">
        <v>74</v>
      </c>
      <c r="Q753" t="s">
        <v>74</v>
      </c>
      <c r="R753" t="s">
        <v>74</v>
      </c>
      <c r="S753" t="s">
        <v>74</v>
      </c>
      <c r="T753" t="s">
        <v>10846</v>
      </c>
      <c r="U753" t="s">
        <v>10847</v>
      </c>
      <c r="V753" t="s">
        <v>10848</v>
      </c>
      <c r="W753" t="s">
        <v>10849</v>
      </c>
      <c r="X753" t="s">
        <v>10850</v>
      </c>
      <c r="Y753" t="s">
        <v>10851</v>
      </c>
      <c r="Z753" t="s">
        <v>8173</v>
      </c>
      <c r="AA753" t="s">
        <v>10852</v>
      </c>
      <c r="AB753" t="s">
        <v>10853</v>
      </c>
      <c r="AC753" t="s">
        <v>74</v>
      </c>
      <c r="AD753" t="s">
        <v>74</v>
      </c>
      <c r="AE753" t="s">
        <v>74</v>
      </c>
      <c r="AF753" t="s">
        <v>74</v>
      </c>
      <c r="AG753">
        <v>58</v>
      </c>
      <c r="AH753">
        <v>48</v>
      </c>
      <c r="AI753">
        <v>55</v>
      </c>
      <c r="AJ753">
        <v>0</v>
      </c>
      <c r="AK753">
        <v>19</v>
      </c>
      <c r="AL753" t="s">
        <v>1629</v>
      </c>
      <c r="AM753" t="s">
        <v>1630</v>
      </c>
      <c r="AN753" t="s">
        <v>1631</v>
      </c>
      <c r="AO753" t="s">
        <v>10854</v>
      </c>
      <c r="AP753" t="s">
        <v>10855</v>
      </c>
      <c r="AQ753" t="s">
        <v>74</v>
      </c>
      <c r="AR753" t="s">
        <v>10856</v>
      </c>
      <c r="AS753" t="s">
        <v>10857</v>
      </c>
      <c r="AT753" t="s">
        <v>10124</v>
      </c>
      <c r="AU753">
        <v>2005</v>
      </c>
      <c r="AV753">
        <v>117</v>
      </c>
      <c r="AW753" t="s">
        <v>442</v>
      </c>
      <c r="AX753" t="s">
        <v>74</v>
      </c>
      <c r="AY753" t="s">
        <v>74</v>
      </c>
      <c r="AZ753" t="s">
        <v>74</v>
      </c>
      <c r="BA753" t="s">
        <v>74</v>
      </c>
      <c r="BB753">
        <v>46</v>
      </c>
      <c r="BC753">
        <v>66</v>
      </c>
      <c r="BD753" t="s">
        <v>74</v>
      </c>
      <c r="BE753" t="s">
        <v>10858</v>
      </c>
      <c r="BF753" t="str">
        <f>HYPERLINK("http://dx.doi.org/10.1130/B25541.1","http://dx.doi.org/10.1130/B25541.1")</f>
        <v>http://dx.doi.org/10.1130/B25541.1</v>
      </c>
      <c r="BG753" t="s">
        <v>74</v>
      </c>
      <c r="BH753" t="s">
        <v>74</v>
      </c>
      <c r="BI753">
        <v>21</v>
      </c>
      <c r="BJ753" t="s">
        <v>537</v>
      </c>
      <c r="BK753" t="s">
        <v>95</v>
      </c>
      <c r="BL753" t="s">
        <v>307</v>
      </c>
      <c r="BM753" t="s">
        <v>10859</v>
      </c>
      <c r="BN753" t="s">
        <v>74</v>
      </c>
      <c r="BO753" t="s">
        <v>74</v>
      </c>
      <c r="BP753" t="s">
        <v>74</v>
      </c>
      <c r="BQ753" t="s">
        <v>74</v>
      </c>
      <c r="BR753" t="s">
        <v>97</v>
      </c>
      <c r="BS753" t="s">
        <v>10860</v>
      </c>
      <c r="BT753" t="str">
        <f>HYPERLINK("https%3A%2F%2Fwww.webofscience.com%2Fwos%2Fwoscc%2Ffull-record%2FWOS:000226346000004","View Full Record in Web of Science")</f>
        <v>View Full Record in Web of Science</v>
      </c>
    </row>
    <row r="754" spans="1:72" x14ac:dyDescent="0.15">
      <c r="A754" t="s">
        <v>72</v>
      </c>
      <c r="B754" t="s">
        <v>10861</v>
      </c>
      <c r="C754" t="s">
        <v>74</v>
      </c>
      <c r="D754" t="s">
        <v>74</v>
      </c>
      <c r="E754" t="s">
        <v>74</v>
      </c>
      <c r="F754" t="s">
        <v>10861</v>
      </c>
      <c r="G754" t="s">
        <v>74</v>
      </c>
      <c r="H754" t="s">
        <v>74</v>
      </c>
      <c r="I754" t="s">
        <v>10862</v>
      </c>
      <c r="J754" t="s">
        <v>10845</v>
      </c>
      <c r="K754" t="s">
        <v>74</v>
      </c>
      <c r="L754" t="s">
        <v>74</v>
      </c>
      <c r="M754" t="s">
        <v>77</v>
      </c>
      <c r="N754" t="s">
        <v>78</v>
      </c>
      <c r="O754" t="s">
        <v>74</v>
      </c>
      <c r="P754" t="s">
        <v>74</v>
      </c>
      <c r="Q754" t="s">
        <v>74</v>
      </c>
      <c r="R754" t="s">
        <v>74</v>
      </c>
      <c r="S754" t="s">
        <v>74</v>
      </c>
      <c r="T754" t="s">
        <v>10863</v>
      </c>
      <c r="U754" t="s">
        <v>10864</v>
      </c>
      <c r="V754" t="s">
        <v>10865</v>
      </c>
      <c r="W754" t="s">
        <v>10866</v>
      </c>
      <c r="X754" t="s">
        <v>10867</v>
      </c>
      <c r="Y754" t="s">
        <v>10868</v>
      </c>
      <c r="Z754" t="s">
        <v>10869</v>
      </c>
      <c r="AA754" t="s">
        <v>10870</v>
      </c>
      <c r="AB754" t="s">
        <v>10871</v>
      </c>
      <c r="AC754" t="s">
        <v>74</v>
      </c>
      <c r="AD754" t="s">
        <v>74</v>
      </c>
      <c r="AE754" t="s">
        <v>74</v>
      </c>
      <c r="AF754" t="s">
        <v>74</v>
      </c>
      <c r="AG754">
        <v>68</v>
      </c>
      <c r="AH754">
        <v>85</v>
      </c>
      <c r="AI754">
        <v>87</v>
      </c>
      <c r="AJ754">
        <v>0</v>
      </c>
      <c r="AK754">
        <v>15</v>
      </c>
      <c r="AL754" t="s">
        <v>1629</v>
      </c>
      <c r="AM754" t="s">
        <v>1630</v>
      </c>
      <c r="AN754" t="s">
        <v>1631</v>
      </c>
      <c r="AO754" t="s">
        <v>10854</v>
      </c>
      <c r="AP754" t="s">
        <v>10855</v>
      </c>
      <c r="AQ754" t="s">
        <v>74</v>
      </c>
      <c r="AR754" t="s">
        <v>10856</v>
      </c>
      <c r="AS754" t="s">
        <v>10857</v>
      </c>
      <c r="AT754" t="s">
        <v>10124</v>
      </c>
      <c r="AU754">
        <v>2005</v>
      </c>
      <c r="AV754">
        <v>117</v>
      </c>
      <c r="AW754" t="s">
        <v>442</v>
      </c>
      <c r="AX754" t="s">
        <v>74</v>
      </c>
      <c r="AY754" t="s">
        <v>74</v>
      </c>
      <c r="AZ754" t="s">
        <v>74</v>
      </c>
      <c r="BA754" t="s">
        <v>74</v>
      </c>
      <c r="BB754">
        <v>105</v>
      </c>
      <c r="BC754">
        <v>116</v>
      </c>
      <c r="BD754" t="s">
        <v>74</v>
      </c>
      <c r="BE754" t="s">
        <v>10872</v>
      </c>
      <c r="BF754" t="str">
        <f>HYPERLINK("http://dx.doi.org/10.1130/B25481.1","http://dx.doi.org/10.1130/B25481.1")</f>
        <v>http://dx.doi.org/10.1130/B25481.1</v>
      </c>
      <c r="BG754" t="s">
        <v>74</v>
      </c>
      <c r="BH754" t="s">
        <v>74</v>
      </c>
      <c r="BI754">
        <v>12</v>
      </c>
      <c r="BJ754" t="s">
        <v>537</v>
      </c>
      <c r="BK754" t="s">
        <v>95</v>
      </c>
      <c r="BL754" t="s">
        <v>307</v>
      </c>
      <c r="BM754" t="s">
        <v>10859</v>
      </c>
      <c r="BN754" t="s">
        <v>74</v>
      </c>
      <c r="BO754" t="s">
        <v>74</v>
      </c>
      <c r="BP754" t="s">
        <v>74</v>
      </c>
      <c r="BQ754" t="s">
        <v>74</v>
      </c>
      <c r="BR754" t="s">
        <v>97</v>
      </c>
      <c r="BS754" t="s">
        <v>10873</v>
      </c>
      <c r="BT754" t="str">
        <f>HYPERLINK("https%3A%2F%2Fwww.webofscience.com%2Fwos%2Fwoscc%2Ffull-record%2FWOS:000226346000007","View Full Record in Web of Science")</f>
        <v>View Full Record in Web of Science</v>
      </c>
    </row>
    <row r="755" spans="1:72" x14ac:dyDescent="0.15">
      <c r="A755" t="s">
        <v>72</v>
      </c>
      <c r="B755" t="s">
        <v>10874</v>
      </c>
      <c r="C755" t="s">
        <v>74</v>
      </c>
      <c r="D755" t="s">
        <v>74</v>
      </c>
      <c r="E755" t="s">
        <v>74</v>
      </c>
      <c r="F755" t="s">
        <v>10874</v>
      </c>
      <c r="G755" t="s">
        <v>74</v>
      </c>
      <c r="H755" t="s">
        <v>74</v>
      </c>
      <c r="I755" t="s">
        <v>10875</v>
      </c>
      <c r="J755" t="s">
        <v>10845</v>
      </c>
      <c r="K755" t="s">
        <v>74</v>
      </c>
      <c r="L755" t="s">
        <v>74</v>
      </c>
      <c r="M755" t="s">
        <v>77</v>
      </c>
      <c r="N755" t="s">
        <v>78</v>
      </c>
      <c r="O755" t="s">
        <v>74</v>
      </c>
      <c r="P755" t="s">
        <v>74</v>
      </c>
      <c r="Q755" t="s">
        <v>74</v>
      </c>
      <c r="R755" t="s">
        <v>74</v>
      </c>
      <c r="S755" t="s">
        <v>74</v>
      </c>
      <c r="T755" t="s">
        <v>10876</v>
      </c>
      <c r="U755" t="s">
        <v>10877</v>
      </c>
      <c r="V755" t="s">
        <v>10878</v>
      </c>
      <c r="W755" t="s">
        <v>10879</v>
      </c>
      <c r="X755" t="s">
        <v>10880</v>
      </c>
      <c r="Y755" t="s">
        <v>10881</v>
      </c>
      <c r="Z755" t="s">
        <v>10882</v>
      </c>
      <c r="AA755" t="s">
        <v>10883</v>
      </c>
      <c r="AB755" t="s">
        <v>10884</v>
      </c>
      <c r="AC755" t="s">
        <v>74</v>
      </c>
      <c r="AD755" t="s">
        <v>74</v>
      </c>
      <c r="AE755" t="s">
        <v>74</v>
      </c>
      <c r="AF755" t="s">
        <v>74</v>
      </c>
      <c r="AG755">
        <v>54</v>
      </c>
      <c r="AH755">
        <v>43</v>
      </c>
      <c r="AI755">
        <v>46</v>
      </c>
      <c r="AJ755">
        <v>0</v>
      </c>
      <c r="AK755">
        <v>12</v>
      </c>
      <c r="AL755" t="s">
        <v>10885</v>
      </c>
      <c r="AM755" t="s">
        <v>10886</v>
      </c>
      <c r="AN755" t="s">
        <v>10887</v>
      </c>
      <c r="AO755" t="s">
        <v>10854</v>
      </c>
      <c r="AP755" t="s">
        <v>74</v>
      </c>
      <c r="AQ755" t="s">
        <v>74</v>
      </c>
      <c r="AR755" t="s">
        <v>10856</v>
      </c>
      <c r="AS755" t="s">
        <v>10857</v>
      </c>
      <c r="AT755" t="s">
        <v>10124</v>
      </c>
      <c r="AU755">
        <v>2005</v>
      </c>
      <c r="AV755">
        <v>117</v>
      </c>
      <c r="AW755" t="s">
        <v>442</v>
      </c>
      <c r="AX755" t="s">
        <v>74</v>
      </c>
      <c r="AY755" t="s">
        <v>74</v>
      </c>
      <c r="AZ755" t="s">
        <v>74</v>
      </c>
      <c r="BA755" t="s">
        <v>74</v>
      </c>
      <c r="BB755">
        <v>212</v>
      </c>
      <c r="BC755">
        <v>228</v>
      </c>
      <c r="BD755" t="s">
        <v>74</v>
      </c>
      <c r="BE755" t="s">
        <v>10888</v>
      </c>
      <c r="BF755" t="str">
        <f>HYPERLINK("http://dx.doi.org/10.1130/B25529.1","http://dx.doi.org/10.1130/B25529.1")</f>
        <v>http://dx.doi.org/10.1130/B25529.1</v>
      </c>
      <c r="BG755" t="s">
        <v>74</v>
      </c>
      <c r="BH755" t="s">
        <v>74</v>
      </c>
      <c r="BI755">
        <v>17</v>
      </c>
      <c r="BJ755" t="s">
        <v>537</v>
      </c>
      <c r="BK755" t="s">
        <v>95</v>
      </c>
      <c r="BL755" t="s">
        <v>307</v>
      </c>
      <c r="BM755" t="s">
        <v>10859</v>
      </c>
      <c r="BN755" t="s">
        <v>74</v>
      </c>
      <c r="BO755" t="s">
        <v>74</v>
      </c>
      <c r="BP755" t="s">
        <v>74</v>
      </c>
      <c r="BQ755" t="s">
        <v>74</v>
      </c>
      <c r="BR755" t="s">
        <v>97</v>
      </c>
      <c r="BS755" t="s">
        <v>10889</v>
      </c>
      <c r="BT755" t="str">
        <f>HYPERLINK("https%3A%2F%2Fwww.webofscience.com%2Fwos%2Fwoscc%2Ffull-record%2FWOS:000226346000014","View Full Record in Web of Science")</f>
        <v>View Full Record in Web of Science</v>
      </c>
    </row>
    <row r="756" spans="1:72" x14ac:dyDescent="0.15">
      <c r="A756" t="s">
        <v>72</v>
      </c>
      <c r="B756" t="s">
        <v>10890</v>
      </c>
      <c r="C756" t="s">
        <v>74</v>
      </c>
      <c r="D756" t="s">
        <v>74</v>
      </c>
      <c r="E756" t="s">
        <v>74</v>
      </c>
      <c r="F756" t="s">
        <v>10890</v>
      </c>
      <c r="G756" t="s">
        <v>74</v>
      </c>
      <c r="H756" t="s">
        <v>74</v>
      </c>
      <c r="I756" t="s">
        <v>10891</v>
      </c>
      <c r="J756" t="s">
        <v>1621</v>
      </c>
      <c r="K756" t="s">
        <v>74</v>
      </c>
      <c r="L756" t="s">
        <v>74</v>
      </c>
      <c r="M756" t="s">
        <v>77</v>
      </c>
      <c r="N756" t="s">
        <v>78</v>
      </c>
      <c r="O756" t="s">
        <v>74</v>
      </c>
      <c r="P756" t="s">
        <v>74</v>
      </c>
      <c r="Q756" t="s">
        <v>74</v>
      </c>
      <c r="R756" t="s">
        <v>74</v>
      </c>
      <c r="S756" t="s">
        <v>74</v>
      </c>
      <c r="T756" t="s">
        <v>10892</v>
      </c>
      <c r="U756" t="s">
        <v>10893</v>
      </c>
      <c r="V756" t="s">
        <v>10894</v>
      </c>
      <c r="W756" t="s">
        <v>10895</v>
      </c>
      <c r="X756" t="s">
        <v>467</v>
      </c>
      <c r="Y756" t="s">
        <v>10896</v>
      </c>
      <c r="Z756" t="s">
        <v>74</v>
      </c>
      <c r="AA756" t="s">
        <v>10897</v>
      </c>
      <c r="AB756" t="s">
        <v>10898</v>
      </c>
      <c r="AC756" t="s">
        <v>74</v>
      </c>
      <c r="AD756" t="s">
        <v>74</v>
      </c>
      <c r="AE756" t="s">
        <v>74</v>
      </c>
      <c r="AF756" t="s">
        <v>74</v>
      </c>
      <c r="AG756">
        <v>37</v>
      </c>
      <c r="AH756">
        <v>37</v>
      </c>
      <c r="AI756">
        <v>39</v>
      </c>
      <c r="AJ756">
        <v>0</v>
      </c>
      <c r="AK756">
        <v>9</v>
      </c>
      <c r="AL756" t="s">
        <v>4573</v>
      </c>
      <c r="AM756" t="s">
        <v>1630</v>
      </c>
      <c r="AN756" t="s">
        <v>1631</v>
      </c>
      <c r="AO756" t="s">
        <v>1632</v>
      </c>
      <c r="AP756" t="s">
        <v>74</v>
      </c>
      <c r="AQ756" t="s">
        <v>74</v>
      </c>
      <c r="AR756" t="s">
        <v>1621</v>
      </c>
      <c r="AS756" t="s">
        <v>307</v>
      </c>
      <c r="AT756" t="s">
        <v>9676</v>
      </c>
      <c r="AU756">
        <v>2005</v>
      </c>
      <c r="AV756">
        <v>33</v>
      </c>
      <c r="AW756">
        <v>1</v>
      </c>
      <c r="AX756" t="s">
        <v>74</v>
      </c>
      <c r="AY756" t="s">
        <v>74</v>
      </c>
      <c r="AZ756" t="s">
        <v>74</v>
      </c>
      <c r="BA756" t="s">
        <v>74</v>
      </c>
      <c r="BB756">
        <v>33</v>
      </c>
      <c r="BC756">
        <v>36</v>
      </c>
      <c r="BD756" t="s">
        <v>74</v>
      </c>
      <c r="BE756" t="s">
        <v>10899</v>
      </c>
      <c r="BF756" t="str">
        <f>HYPERLINK("http://dx.doi.org/10.1130/G20941.1","http://dx.doi.org/10.1130/G20941.1")</f>
        <v>http://dx.doi.org/10.1130/G20941.1</v>
      </c>
      <c r="BG756" t="s">
        <v>74</v>
      </c>
      <c r="BH756" t="s">
        <v>74</v>
      </c>
      <c r="BI756">
        <v>4</v>
      </c>
      <c r="BJ756" t="s">
        <v>307</v>
      </c>
      <c r="BK756" t="s">
        <v>95</v>
      </c>
      <c r="BL756" t="s">
        <v>307</v>
      </c>
      <c r="BM756" t="s">
        <v>10900</v>
      </c>
      <c r="BN756" t="s">
        <v>74</v>
      </c>
      <c r="BO756" t="s">
        <v>74</v>
      </c>
      <c r="BP756" t="s">
        <v>74</v>
      </c>
      <c r="BQ756" t="s">
        <v>74</v>
      </c>
      <c r="BR756" t="s">
        <v>97</v>
      </c>
      <c r="BS756" t="s">
        <v>10901</v>
      </c>
      <c r="BT756" t="str">
        <f>HYPERLINK("https%3A%2F%2Fwww.webofscience.com%2Fwos%2Fwoscc%2Ffull-record%2FWOS:000226355900009","View Full Record in Web of Science")</f>
        <v>View Full Record in Web of Science</v>
      </c>
    </row>
    <row r="757" spans="1:72" x14ac:dyDescent="0.15">
      <c r="A757" t="s">
        <v>72</v>
      </c>
      <c r="B757" t="s">
        <v>10902</v>
      </c>
      <c r="C757" t="s">
        <v>74</v>
      </c>
      <c r="D757" t="s">
        <v>74</v>
      </c>
      <c r="E757" t="s">
        <v>74</v>
      </c>
      <c r="F757" t="s">
        <v>10902</v>
      </c>
      <c r="G757" t="s">
        <v>74</v>
      </c>
      <c r="H757" t="s">
        <v>74</v>
      </c>
      <c r="I757" t="s">
        <v>10903</v>
      </c>
      <c r="J757" t="s">
        <v>3336</v>
      </c>
      <c r="K757" t="s">
        <v>74</v>
      </c>
      <c r="L757" t="s">
        <v>74</v>
      </c>
      <c r="M757" t="s">
        <v>77</v>
      </c>
      <c r="N757" t="s">
        <v>78</v>
      </c>
      <c r="O757" t="s">
        <v>74</v>
      </c>
      <c r="P757" t="s">
        <v>74</v>
      </c>
      <c r="Q757" t="s">
        <v>74</v>
      </c>
      <c r="R757" t="s">
        <v>74</v>
      </c>
      <c r="S757" t="s">
        <v>74</v>
      </c>
      <c r="T757" t="s">
        <v>74</v>
      </c>
      <c r="U757" t="s">
        <v>10904</v>
      </c>
      <c r="V757" t="s">
        <v>10905</v>
      </c>
      <c r="W757" t="s">
        <v>10906</v>
      </c>
      <c r="X757" t="s">
        <v>10907</v>
      </c>
      <c r="Y757" t="s">
        <v>10908</v>
      </c>
      <c r="Z757" t="s">
        <v>74</v>
      </c>
      <c r="AA757" t="s">
        <v>10909</v>
      </c>
      <c r="AB757" t="s">
        <v>10910</v>
      </c>
      <c r="AC757" t="s">
        <v>74</v>
      </c>
      <c r="AD757" t="s">
        <v>74</v>
      </c>
      <c r="AE757" t="s">
        <v>74</v>
      </c>
      <c r="AF757" t="s">
        <v>74</v>
      </c>
      <c r="AG757">
        <v>21</v>
      </c>
      <c r="AH757">
        <v>2</v>
      </c>
      <c r="AI757">
        <v>2</v>
      </c>
      <c r="AJ757">
        <v>0</v>
      </c>
      <c r="AK757">
        <v>3</v>
      </c>
      <c r="AL757" t="s">
        <v>3227</v>
      </c>
      <c r="AM757" t="s">
        <v>134</v>
      </c>
      <c r="AN757" t="s">
        <v>3228</v>
      </c>
      <c r="AO757" t="s">
        <v>3345</v>
      </c>
      <c r="AP757" t="s">
        <v>3346</v>
      </c>
      <c r="AQ757" t="s">
        <v>74</v>
      </c>
      <c r="AR757" t="s">
        <v>3347</v>
      </c>
      <c r="AS757" t="s">
        <v>3348</v>
      </c>
      <c r="AT757" t="s">
        <v>10124</v>
      </c>
      <c r="AU757">
        <v>2005</v>
      </c>
      <c r="AV757">
        <v>45</v>
      </c>
      <c r="AW757">
        <v>1</v>
      </c>
      <c r="AX757" t="s">
        <v>74</v>
      </c>
      <c r="AY757" t="s">
        <v>74</v>
      </c>
      <c r="AZ757" t="s">
        <v>74</v>
      </c>
      <c r="BA757" t="s">
        <v>74</v>
      </c>
      <c r="BB757">
        <v>60</v>
      </c>
      <c r="BC757">
        <v>70</v>
      </c>
      <c r="BD757" t="s">
        <v>74</v>
      </c>
      <c r="BE757" t="s">
        <v>74</v>
      </c>
      <c r="BF757" t="s">
        <v>74</v>
      </c>
      <c r="BG757" t="s">
        <v>74</v>
      </c>
      <c r="BH757" t="s">
        <v>74</v>
      </c>
      <c r="BI757">
        <v>11</v>
      </c>
      <c r="BJ757" t="s">
        <v>381</v>
      </c>
      <c r="BK757" t="s">
        <v>95</v>
      </c>
      <c r="BL757" t="s">
        <v>381</v>
      </c>
      <c r="BM757" t="s">
        <v>10911</v>
      </c>
      <c r="BN757" t="s">
        <v>74</v>
      </c>
      <c r="BO757" t="s">
        <v>74</v>
      </c>
      <c r="BP757" t="s">
        <v>74</v>
      </c>
      <c r="BQ757" t="s">
        <v>74</v>
      </c>
      <c r="BR757" t="s">
        <v>97</v>
      </c>
      <c r="BS757" t="s">
        <v>10912</v>
      </c>
      <c r="BT757" t="str">
        <f>HYPERLINK("https%3A%2F%2Fwww.webofscience.com%2Fwos%2Fwoscc%2Ffull-record%2FWOS:000227247500006","View Full Record in Web of Science")</f>
        <v>View Full Record in Web of Science</v>
      </c>
    </row>
    <row r="758" spans="1:72" x14ac:dyDescent="0.15">
      <c r="A758" t="s">
        <v>8867</v>
      </c>
      <c r="B758" t="s">
        <v>10913</v>
      </c>
      <c r="C758" t="s">
        <v>74</v>
      </c>
      <c r="D758" t="s">
        <v>10914</v>
      </c>
      <c r="E758" t="s">
        <v>74</v>
      </c>
      <c r="F758" t="s">
        <v>10913</v>
      </c>
      <c r="G758" t="s">
        <v>74</v>
      </c>
      <c r="H758" t="s">
        <v>74</v>
      </c>
      <c r="I758" t="s">
        <v>10915</v>
      </c>
      <c r="J758" t="s">
        <v>10916</v>
      </c>
      <c r="K758" t="s">
        <v>74</v>
      </c>
      <c r="L758" t="s">
        <v>74</v>
      </c>
      <c r="M758" t="s">
        <v>77</v>
      </c>
      <c r="N758" t="s">
        <v>8873</v>
      </c>
      <c r="O758" t="s">
        <v>10917</v>
      </c>
      <c r="P758" t="s">
        <v>10918</v>
      </c>
      <c r="Q758" t="s">
        <v>10919</v>
      </c>
      <c r="R758" t="s">
        <v>74</v>
      </c>
      <c r="S758" t="s">
        <v>74</v>
      </c>
      <c r="T758" t="s">
        <v>74</v>
      </c>
      <c r="U758" t="s">
        <v>10920</v>
      </c>
      <c r="V758" t="s">
        <v>10921</v>
      </c>
      <c r="W758" t="s">
        <v>10922</v>
      </c>
      <c r="X758" t="s">
        <v>593</v>
      </c>
      <c r="Y758" t="s">
        <v>10923</v>
      </c>
      <c r="Z758" t="s">
        <v>74</v>
      </c>
      <c r="AA758" t="s">
        <v>10924</v>
      </c>
      <c r="AB758" t="s">
        <v>10925</v>
      </c>
      <c r="AC758" t="s">
        <v>74</v>
      </c>
      <c r="AD758" t="s">
        <v>74</v>
      </c>
      <c r="AE758" t="s">
        <v>74</v>
      </c>
      <c r="AF758" t="s">
        <v>74</v>
      </c>
      <c r="AG758">
        <v>13</v>
      </c>
      <c r="AH758">
        <v>0</v>
      </c>
      <c r="AI758">
        <v>0</v>
      </c>
      <c r="AJ758">
        <v>0</v>
      </c>
      <c r="AK758">
        <v>4</v>
      </c>
      <c r="AL758" t="s">
        <v>10926</v>
      </c>
      <c r="AM758" t="s">
        <v>10927</v>
      </c>
      <c r="AN758" t="s">
        <v>10928</v>
      </c>
      <c r="AO758" t="s">
        <v>74</v>
      </c>
      <c r="AP758" t="s">
        <v>74</v>
      </c>
      <c r="AQ758" t="s">
        <v>10929</v>
      </c>
      <c r="AR758" t="s">
        <v>74</v>
      </c>
      <c r="AS758" t="s">
        <v>74</v>
      </c>
      <c r="AT758" t="s">
        <v>74</v>
      </c>
      <c r="AU758">
        <v>2005</v>
      </c>
      <c r="AV758" t="s">
        <v>74</v>
      </c>
      <c r="AW758" t="s">
        <v>74</v>
      </c>
      <c r="AX758" t="s">
        <v>74</v>
      </c>
      <c r="AY758" t="s">
        <v>74</v>
      </c>
      <c r="AZ758" t="s">
        <v>74</v>
      </c>
      <c r="BA758" t="s">
        <v>74</v>
      </c>
      <c r="BB758">
        <v>92</v>
      </c>
      <c r="BC758">
        <v>98</v>
      </c>
      <c r="BD758" t="s">
        <v>74</v>
      </c>
      <c r="BE758" t="s">
        <v>74</v>
      </c>
      <c r="BF758" t="s">
        <v>74</v>
      </c>
      <c r="BG758" t="s">
        <v>74</v>
      </c>
      <c r="BH758" t="s">
        <v>74</v>
      </c>
      <c r="BI758">
        <v>7</v>
      </c>
      <c r="BJ758" t="s">
        <v>10930</v>
      </c>
      <c r="BK758" t="s">
        <v>8890</v>
      </c>
      <c r="BL758" t="s">
        <v>10931</v>
      </c>
      <c r="BM758" t="s">
        <v>10932</v>
      </c>
      <c r="BN758" t="s">
        <v>74</v>
      </c>
      <c r="BO758" t="s">
        <v>74</v>
      </c>
      <c r="BP758" t="s">
        <v>74</v>
      </c>
      <c r="BQ758" t="s">
        <v>74</v>
      </c>
      <c r="BR758" t="s">
        <v>97</v>
      </c>
      <c r="BS758" t="s">
        <v>10933</v>
      </c>
      <c r="BT758" t="str">
        <f>HYPERLINK("https%3A%2F%2Fwww.webofscience.com%2Fwos%2Fwoscc%2Ffull-record%2FWOS:000233264200013","View Full Record in Web of Science")</f>
        <v>View Full Record in Web of Science</v>
      </c>
    </row>
    <row r="759" spans="1:72" x14ac:dyDescent="0.15">
      <c r="A759" t="s">
        <v>8867</v>
      </c>
      <c r="B759" t="s">
        <v>10934</v>
      </c>
      <c r="C759" t="s">
        <v>74</v>
      </c>
      <c r="D759" t="s">
        <v>10914</v>
      </c>
      <c r="E759" t="s">
        <v>74</v>
      </c>
      <c r="F759" t="s">
        <v>10934</v>
      </c>
      <c r="G759" t="s">
        <v>74</v>
      </c>
      <c r="H759" t="s">
        <v>74</v>
      </c>
      <c r="I759" t="s">
        <v>10935</v>
      </c>
      <c r="J759" t="s">
        <v>10916</v>
      </c>
      <c r="K759" t="s">
        <v>74</v>
      </c>
      <c r="L759" t="s">
        <v>74</v>
      </c>
      <c r="M759" t="s">
        <v>77</v>
      </c>
      <c r="N759" t="s">
        <v>8873</v>
      </c>
      <c r="O759" t="s">
        <v>10917</v>
      </c>
      <c r="P759" t="s">
        <v>10918</v>
      </c>
      <c r="Q759" t="s">
        <v>10919</v>
      </c>
      <c r="R759" t="s">
        <v>74</v>
      </c>
      <c r="S759" t="s">
        <v>74</v>
      </c>
      <c r="T759" t="s">
        <v>74</v>
      </c>
      <c r="U759" t="s">
        <v>74</v>
      </c>
      <c r="V759" t="s">
        <v>10936</v>
      </c>
      <c r="W759" t="s">
        <v>10937</v>
      </c>
      <c r="X759" t="s">
        <v>74</v>
      </c>
      <c r="Y759" t="s">
        <v>10938</v>
      </c>
      <c r="Z759" t="s">
        <v>74</v>
      </c>
      <c r="AA759" t="s">
        <v>74</v>
      </c>
      <c r="AB759" t="s">
        <v>74</v>
      </c>
      <c r="AC759" t="s">
        <v>74</v>
      </c>
      <c r="AD759" t="s">
        <v>74</v>
      </c>
      <c r="AE759" t="s">
        <v>74</v>
      </c>
      <c r="AF759" t="s">
        <v>74</v>
      </c>
      <c r="AG759">
        <v>19</v>
      </c>
      <c r="AH759">
        <v>0</v>
      </c>
      <c r="AI759">
        <v>0</v>
      </c>
      <c r="AJ759">
        <v>0</v>
      </c>
      <c r="AK759">
        <v>0</v>
      </c>
      <c r="AL759" t="s">
        <v>10926</v>
      </c>
      <c r="AM759" t="s">
        <v>10927</v>
      </c>
      <c r="AN759" t="s">
        <v>10928</v>
      </c>
      <c r="AO759" t="s">
        <v>74</v>
      </c>
      <c r="AP759" t="s">
        <v>74</v>
      </c>
      <c r="AQ759" t="s">
        <v>10929</v>
      </c>
      <c r="AR759" t="s">
        <v>74</v>
      </c>
      <c r="AS759" t="s">
        <v>74</v>
      </c>
      <c r="AT759" t="s">
        <v>74</v>
      </c>
      <c r="AU759">
        <v>2005</v>
      </c>
      <c r="AV759" t="s">
        <v>74</v>
      </c>
      <c r="AW759" t="s">
        <v>74</v>
      </c>
      <c r="AX759" t="s">
        <v>74</v>
      </c>
      <c r="AY759" t="s">
        <v>74</v>
      </c>
      <c r="AZ759" t="s">
        <v>74</v>
      </c>
      <c r="BA759" t="s">
        <v>74</v>
      </c>
      <c r="BB759">
        <v>1216</v>
      </c>
      <c r="BC759">
        <v>1221</v>
      </c>
      <c r="BD759" t="s">
        <v>74</v>
      </c>
      <c r="BE759" t="s">
        <v>74</v>
      </c>
      <c r="BF759" t="s">
        <v>74</v>
      </c>
      <c r="BG759" t="s">
        <v>74</v>
      </c>
      <c r="BH759" t="s">
        <v>74</v>
      </c>
      <c r="BI759">
        <v>6</v>
      </c>
      <c r="BJ759" t="s">
        <v>10930</v>
      </c>
      <c r="BK759" t="s">
        <v>8890</v>
      </c>
      <c r="BL759" t="s">
        <v>10931</v>
      </c>
      <c r="BM759" t="s">
        <v>10932</v>
      </c>
      <c r="BN759" t="s">
        <v>74</v>
      </c>
      <c r="BO759" t="s">
        <v>74</v>
      </c>
      <c r="BP759" t="s">
        <v>74</v>
      </c>
      <c r="BQ759" t="s">
        <v>74</v>
      </c>
      <c r="BR759" t="s">
        <v>97</v>
      </c>
      <c r="BS759" t="s">
        <v>10939</v>
      </c>
      <c r="BT759" t="str">
        <f>HYPERLINK("https%3A%2F%2Fwww.webofscience.com%2Fwos%2Fwoscc%2Ffull-record%2FWOS:000233264200205","View Full Record in Web of Science")</f>
        <v>View Full Record in Web of Science</v>
      </c>
    </row>
    <row r="760" spans="1:72" x14ac:dyDescent="0.15">
      <c r="A760" t="s">
        <v>8867</v>
      </c>
      <c r="B760" t="s">
        <v>10940</v>
      </c>
      <c r="C760" t="s">
        <v>74</v>
      </c>
      <c r="D760" t="s">
        <v>10941</v>
      </c>
      <c r="E760" t="s">
        <v>74</v>
      </c>
      <c r="F760" t="s">
        <v>10940</v>
      </c>
      <c r="G760" t="s">
        <v>74</v>
      </c>
      <c r="H760" t="s">
        <v>74</v>
      </c>
      <c r="I760" t="s">
        <v>10942</v>
      </c>
      <c r="J760" t="s">
        <v>10943</v>
      </c>
      <c r="K760" t="s">
        <v>10944</v>
      </c>
      <c r="L760" t="s">
        <v>74</v>
      </c>
      <c r="M760" t="s">
        <v>77</v>
      </c>
      <c r="N760" t="s">
        <v>8873</v>
      </c>
      <c r="O760" t="s">
        <v>10945</v>
      </c>
      <c r="P760" t="s">
        <v>10946</v>
      </c>
      <c r="Q760" t="s">
        <v>10947</v>
      </c>
      <c r="R760" t="s">
        <v>74</v>
      </c>
      <c r="S760" t="s">
        <v>74</v>
      </c>
      <c r="T760" t="s">
        <v>10948</v>
      </c>
      <c r="U760" t="s">
        <v>10949</v>
      </c>
      <c r="V760" t="s">
        <v>10950</v>
      </c>
      <c r="W760" t="s">
        <v>10951</v>
      </c>
      <c r="X760" t="s">
        <v>10952</v>
      </c>
      <c r="Y760" t="s">
        <v>10953</v>
      </c>
      <c r="Z760" t="s">
        <v>74</v>
      </c>
      <c r="AA760" t="s">
        <v>74</v>
      </c>
      <c r="AB760" t="s">
        <v>10954</v>
      </c>
      <c r="AC760" t="s">
        <v>74</v>
      </c>
      <c r="AD760" t="s">
        <v>74</v>
      </c>
      <c r="AE760" t="s">
        <v>74</v>
      </c>
      <c r="AF760" t="s">
        <v>74</v>
      </c>
      <c r="AG760">
        <v>13</v>
      </c>
      <c r="AH760">
        <v>4</v>
      </c>
      <c r="AI760">
        <v>6</v>
      </c>
      <c r="AJ760">
        <v>0</v>
      </c>
      <c r="AK760">
        <v>1</v>
      </c>
      <c r="AL760" t="s">
        <v>10460</v>
      </c>
      <c r="AM760" t="s">
        <v>9853</v>
      </c>
      <c r="AN760" t="s">
        <v>10461</v>
      </c>
      <c r="AO760" t="s">
        <v>10955</v>
      </c>
      <c r="AP760" t="s">
        <v>74</v>
      </c>
      <c r="AQ760" t="s">
        <v>10956</v>
      </c>
      <c r="AR760" t="s">
        <v>10957</v>
      </c>
      <c r="AS760" t="s">
        <v>74</v>
      </c>
      <c r="AT760" t="s">
        <v>74</v>
      </c>
      <c r="AU760">
        <v>2005</v>
      </c>
      <c r="AV760">
        <v>129</v>
      </c>
      <c r="AW760" t="s">
        <v>74</v>
      </c>
      <c r="AX760" t="s">
        <v>74</v>
      </c>
      <c r="AY760" t="s">
        <v>74</v>
      </c>
      <c r="AZ760" t="s">
        <v>74</v>
      </c>
      <c r="BA760" t="s">
        <v>74</v>
      </c>
      <c r="BB760">
        <v>137</v>
      </c>
      <c r="BC760">
        <v>142</v>
      </c>
      <c r="BD760" t="s">
        <v>74</v>
      </c>
      <c r="BE760" t="s">
        <v>74</v>
      </c>
      <c r="BF760" t="s">
        <v>74</v>
      </c>
      <c r="BG760" t="s">
        <v>74</v>
      </c>
      <c r="BH760" t="s">
        <v>74</v>
      </c>
      <c r="BI760">
        <v>6</v>
      </c>
      <c r="BJ760" t="s">
        <v>10958</v>
      </c>
      <c r="BK760" t="s">
        <v>8890</v>
      </c>
      <c r="BL760" t="s">
        <v>10958</v>
      </c>
      <c r="BM760" t="s">
        <v>10959</v>
      </c>
      <c r="BN760" t="s">
        <v>74</v>
      </c>
      <c r="BO760" t="s">
        <v>74</v>
      </c>
      <c r="BP760" t="s">
        <v>74</v>
      </c>
      <c r="BQ760" t="s">
        <v>74</v>
      </c>
      <c r="BR760" t="s">
        <v>97</v>
      </c>
      <c r="BS760" t="s">
        <v>10960</v>
      </c>
      <c r="BT760" t="str">
        <f>HYPERLINK("https%3A%2F%2Fwww.webofscience.com%2Fwos%2Fwoscc%2Ffull-record%2FWOS:000231964700024","View Full Record in Web of Science")</f>
        <v>View Full Record in Web of Science</v>
      </c>
    </row>
    <row r="761" spans="1:72" x14ac:dyDescent="0.15">
      <c r="A761" t="s">
        <v>8867</v>
      </c>
      <c r="B761" t="s">
        <v>10961</v>
      </c>
      <c r="C761" t="s">
        <v>74</v>
      </c>
      <c r="D761" t="s">
        <v>10941</v>
      </c>
      <c r="E761" t="s">
        <v>74</v>
      </c>
      <c r="F761" t="s">
        <v>10961</v>
      </c>
      <c r="G761" t="s">
        <v>74</v>
      </c>
      <c r="H761" t="s">
        <v>74</v>
      </c>
      <c r="I761" t="s">
        <v>10962</v>
      </c>
      <c r="J761" t="s">
        <v>10943</v>
      </c>
      <c r="K761" t="s">
        <v>10944</v>
      </c>
      <c r="L761" t="s">
        <v>74</v>
      </c>
      <c r="M761" t="s">
        <v>77</v>
      </c>
      <c r="N761" t="s">
        <v>8873</v>
      </c>
      <c r="O761" t="s">
        <v>10945</v>
      </c>
      <c r="P761" t="s">
        <v>10946</v>
      </c>
      <c r="Q761" t="s">
        <v>10947</v>
      </c>
      <c r="R761" t="s">
        <v>74</v>
      </c>
      <c r="S761" t="s">
        <v>74</v>
      </c>
      <c r="T761" t="s">
        <v>10963</v>
      </c>
      <c r="U761" t="s">
        <v>74</v>
      </c>
      <c r="V761" t="s">
        <v>10964</v>
      </c>
      <c r="W761" t="s">
        <v>10965</v>
      </c>
      <c r="X761" t="s">
        <v>4509</v>
      </c>
      <c r="Y761" t="s">
        <v>10966</v>
      </c>
      <c r="Z761" t="s">
        <v>74</v>
      </c>
      <c r="AA761" t="s">
        <v>74</v>
      </c>
      <c r="AB761" t="s">
        <v>10967</v>
      </c>
      <c r="AC761" t="s">
        <v>74</v>
      </c>
      <c r="AD761" t="s">
        <v>74</v>
      </c>
      <c r="AE761" t="s">
        <v>74</v>
      </c>
      <c r="AF761" t="s">
        <v>74</v>
      </c>
      <c r="AG761">
        <v>23</v>
      </c>
      <c r="AH761">
        <v>3</v>
      </c>
      <c r="AI761">
        <v>4</v>
      </c>
      <c r="AJ761">
        <v>0</v>
      </c>
      <c r="AK761">
        <v>3</v>
      </c>
      <c r="AL761" t="s">
        <v>10460</v>
      </c>
      <c r="AM761" t="s">
        <v>9853</v>
      </c>
      <c r="AN761" t="s">
        <v>10461</v>
      </c>
      <c r="AO761" t="s">
        <v>10955</v>
      </c>
      <c r="AP761" t="s">
        <v>74</v>
      </c>
      <c r="AQ761" t="s">
        <v>10956</v>
      </c>
      <c r="AR761" t="s">
        <v>10957</v>
      </c>
      <c r="AS761" t="s">
        <v>74</v>
      </c>
      <c r="AT761" t="s">
        <v>74</v>
      </c>
      <c r="AU761">
        <v>2005</v>
      </c>
      <c r="AV761">
        <v>129</v>
      </c>
      <c r="AW761" t="s">
        <v>74</v>
      </c>
      <c r="AX761" t="s">
        <v>74</v>
      </c>
      <c r="AY761" t="s">
        <v>74</v>
      </c>
      <c r="AZ761" t="s">
        <v>74</v>
      </c>
      <c r="BA761" t="s">
        <v>74</v>
      </c>
      <c r="BB761">
        <v>280</v>
      </c>
      <c r="BC761">
        <v>285</v>
      </c>
      <c r="BD761" t="s">
        <v>74</v>
      </c>
      <c r="BE761" t="s">
        <v>74</v>
      </c>
      <c r="BF761" t="s">
        <v>74</v>
      </c>
      <c r="BG761" t="s">
        <v>74</v>
      </c>
      <c r="BH761" t="s">
        <v>74</v>
      </c>
      <c r="BI761">
        <v>6</v>
      </c>
      <c r="BJ761" t="s">
        <v>10958</v>
      </c>
      <c r="BK761" t="s">
        <v>8890</v>
      </c>
      <c r="BL761" t="s">
        <v>10958</v>
      </c>
      <c r="BM761" t="s">
        <v>10959</v>
      </c>
      <c r="BN761" t="s">
        <v>74</v>
      </c>
      <c r="BO761" t="s">
        <v>74</v>
      </c>
      <c r="BP761" t="s">
        <v>74</v>
      </c>
      <c r="BQ761" t="s">
        <v>74</v>
      </c>
      <c r="BR761" t="s">
        <v>97</v>
      </c>
      <c r="BS761" t="s">
        <v>10968</v>
      </c>
      <c r="BT761" t="str">
        <f>HYPERLINK("https%3A%2F%2Fwww.webofscience.com%2Fwos%2Fwoscc%2Ffull-record%2FWOS:000231964700049","View Full Record in Web of Science")</f>
        <v>View Full Record in Web of Science</v>
      </c>
    </row>
    <row r="762" spans="1:72" x14ac:dyDescent="0.15">
      <c r="A762" t="s">
        <v>1269</v>
      </c>
      <c r="B762" t="s">
        <v>10969</v>
      </c>
      <c r="C762" t="s">
        <v>74</v>
      </c>
      <c r="D762" t="s">
        <v>10970</v>
      </c>
      <c r="E762" t="s">
        <v>74</v>
      </c>
      <c r="F762" t="s">
        <v>10969</v>
      </c>
      <c r="G762" t="s">
        <v>74</v>
      </c>
      <c r="H762" t="s">
        <v>74</v>
      </c>
      <c r="I762" t="s">
        <v>10971</v>
      </c>
      <c r="J762" t="s">
        <v>10972</v>
      </c>
      <c r="K762" t="s">
        <v>9684</v>
      </c>
      <c r="L762" t="s">
        <v>74</v>
      </c>
      <c r="M762" t="s">
        <v>77</v>
      </c>
      <c r="N762" t="s">
        <v>495</v>
      </c>
      <c r="O762" t="s">
        <v>9685</v>
      </c>
      <c r="P762" t="s">
        <v>9686</v>
      </c>
      <c r="Q762" t="s">
        <v>9687</v>
      </c>
      <c r="R762" t="s">
        <v>74</v>
      </c>
      <c r="S762" t="s">
        <v>74</v>
      </c>
      <c r="T762" t="s">
        <v>10973</v>
      </c>
      <c r="U762" t="s">
        <v>10974</v>
      </c>
      <c r="V762" t="s">
        <v>10975</v>
      </c>
      <c r="W762" t="s">
        <v>10976</v>
      </c>
      <c r="X762" t="s">
        <v>10977</v>
      </c>
      <c r="Y762" t="s">
        <v>10978</v>
      </c>
      <c r="Z762" t="s">
        <v>10979</v>
      </c>
      <c r="AA762" t="s">
        <v>74</v>
      </c>
      <c r="AB762" t="s">
        <v>10980</v>
      </c>
      <c r="AC762" t="s">
        <v>74</v>
      </c>
      <c r="AD762" t="s">
        <v>74</v>
      </c>
      <c r="AE762" t="s">
        <v>74</v>
      </c>
      <c r="AF762" t="s">
        <v>74</v>
      </c>
      <c r="AG762">
        <v>48</v>
      </c>
      <c r="AH762">
        <v>7</v>
      </c>
      <c r="AI762">
        <v>7</v>
      </c>
      <c r="AJ762">
        <v>0</v>
      </c>
      <c r="AK762">
        <v>2</v>
      </c>
      <c r="AL762" t="s">
        <v>255</v>
      </c>
      <c r="AM762" t="s">
        <v>10981</v>
      </c>
      <c r="AN762" t="s">
        <v>10982</v>
      </c>
      <c r="AO762" t="s">
        <v>9698</v>
      </c>
      <c r="AP762" t="s">
        <v>74</v>
      </c>
      <c r="AQ762" t="s">
        <v>74</v>
      </c>
      <c r="AR762" t="s">
        <v>9699</v>
      </c>
      <c r="AS762" t="s">
        <v>74</v>
      </c>
      <c r="AT762" t="s">
        <v>74</v>
      </c>
      <c r="AU762">
        <v>2005</v>
      </c>
      <c r="AV762">
        <v>35</v>
      </c>
      <c r="AW762">
        <v>8</v>
      </c>
      <c r="AX762" t="s">
        <v>74</v>
      </c>
      <c r="AY762" t="s">
        <v>74</v>
      </c>
      <c r="AZ762" t="s">
        <v>74</v>
      </c>
      <c r="BA762" t="s">
        <v>74</v>
      </c>
      <c r="BB762">
        <v>1434</v>
      </c>
      <c r="BC762">
        <v>1449</v>
      </c>
      <c r="BD762" t="s">
        <v>74</v>
      </c>
      <c r="BE762" t="s">
        <v>10983</v>
      </c>
      <c r="BF762" t="str">
        <f>HYPERLINK("http://dx.doi.org/10.1016/j.asr.2005.04.009","http://dx.doi.org/10.1016/j.asr.2005.04.009")</f>
        <v>http://dx.doi.org/10.1016/j.asr.2005.04.009</v>
      </c>
      <c r="BG762" t="s">
        <v>74</v>
      </c>
      <c r="BH762" t="s">
        <v>74</v>
      </c>
      <c r="BI762">
        <v>16</v>
      </c>
      <c r="BJ762" t="s">
        <v>10984</v>
      </c>
      <c r="BK762" t="s">
        <v>989</v>
      </c>
      <c r="BL762" t="s">
        <v>10985</v>
      </c>
      <c r="BM762" t="s">
        <v>10986</v>
      </c>
      <c r="BN762" t="s">
        <v>74</v>
      </c>
      <c r="BO762" t="s">
        <v>74</v>
      </c>
      <c r="BP762" t="s">
        <v>74</v>
      </c>
      <c r="BQ762" t="s">
        <v>74</v>
      </c>
      <c r="BR762" t="s">
        <v>97</v>
      </c>
      <c r="BS762" t="s">
        <v>10987</v>
      </c>
      <c r="BT762" t="str">
        <f>HYPERLINK("https%3A%2F%2Fwww.webofscience.com%2Fwos%2Fwoscc%2Ffull-record%2FWOS:000232300900011","View Full Record in Web of Science")</f>
        <v>View Full Record in Web of Science</v>
      </c>
    </row>
    <row r="763" spans="1:72" x14ac:dyDescent="0.15">
      <c r="A763" t="s">
        <v>1269</v>
      </c>
      <c r="B763" t="s">
        <v>10988</v>
      </c>
      <c r="C763" t="s">
        <v>74</v>
      </c>
      <c r="D763" t="s">
        <v>10970</v>
      </c>
      <c r="E763" t="s">
        <v>74</v>
      </c>
      <c r="F763" t="s">
        <v>10988</v>
      </c>
      <c r="G763" t="s">
        <v>74</v>
      </c>
      <c r="H763" t="s">
        <v>74</v>
      </c>
      <c r="I763" t="s">
        <v>10989</v>
      </c>
      <c r="J763" t="s">
        <v>10972</v>
      </c>
      <c r="K763" t="s">
        <v>9684</v>
      </c>
      <c r="L763" t="s">
        <v>74</v>
      </c>
      <c r="M763" t="s">
        <v>77</v>
      </c>
      <c r="N763" t="s">
        <v>495</v>
      </c>
      <c r="O763" t="s">
        <v>9685</v>
      </c>
      <c r="P763" t="s">
        <v>9686</v>
      </c>
      <c r="Q763" t="s">
        <v>9687</v>
      </c>
      <c r="R763" t="s">
        <v>74</v>
      </c>
      <c r="S763" t="s">
        <v>74</v>
      </c>
      <c r="T763" t="s">
        <v>10990</v>
      </c>
      <c r="U763" t="s">
        <v>10991</v>
      </c>
      <c r="V763" t="s">
        <v>10992</v>
      </c>
      <c r="W763" t="s">
        <v>5998</v>
      </c>
      <c r="X763" t="s">
        <v>5999</v>
      </c>
      <c r="Y763" t="s">
        <v>10993</v>
      </c>
      <c r="Z763" t="s">
        <v>10994</v>
      </c>
      <c r="AA763" t="s">
        <v>74</v>
      </c>
      <c r="AB763" t="s">
        <v>74</v>
      </c>
      <c r="AC763" t="s">
        <v>74</v>
      </c>
      <c r="AD763" t="s">
        <v>74</v>
      </c>
      <c r="AE763" t="s">
        <v>74</v>
      </c>
      <c r="AF763" t="s">
        <v>74</v>
      </c>
      <c r="AG763">
        <v>12</v>
      </c>
      <c r="AH763">
        <v>0</v>
      </c>
      <c r="AI763">
        <v>0</v>
      </c>
      <c r="AJ763">
        <v>0</v>
      </c>
      <c r="AK763">
        <v>1</v>
      </c>
      <c r="AL763" t="s">
        <v>255</v>
      </c>
      <c r="AM763" t="s">
        <v>10981</v>
      </c>
      <c r="AN763" t="s">
        <v>10982</v>
      </c>
      <c r="AO763" t="s">
        <v>9698</v>
      </c>
      <c r="AP763" t="s">
        <v>74</v>
      </c>
      <c r="AQ763" t="s">
        <v>74</v>
      </c>
      <c r="AR763" t="s">
        <v>9699</v>
      </c>
      <c r="AS763" t="s">
        <v>74</v>
      </c>
      <c r="AT763" t="s">
        <v>74</v>
      </c>
      <c r="AU763">
        <v>2005</v>
      </c>
      <c r="AV763">
        <v>35</v>
      </c>
      <c r="AW763">
        <v>8</v>
      </c>
      <c r="AX763" t="s">
        <v>74</v>
      </c>
      <c r="AY763" t="s">
        <v>74</v>
      </c>
      <c r="AZ763" t="s">
        <v>74</v>
      </c>
      <c r="BA763" t="s">
        <v>74</v>
      </c>
      <c r="BB763">
        <v>1480</v>
      </c>
      <c r="BC763">
        <v>1483</v>
      </c>
      <c r="BD763" t="s">
        <v>74</v>
      </c>
      <c r="BE763" t="s">
        <v>10995</v>
      </c>
      <c r="BF763" t="str">
        <f>HYPERLINK("http://dx.doi.org/10.1016/j.asr.2005.02.058","http://dx.doi.org/10.1016/j.asr.2005.02.058")</f>
        <v>http://dx.doi.org/10.1016/j.asr.2005.02.058</v>
      </c>
      <c r="BG763" t="s">
        <v>74</v>
      </c>
      <c r="BH763" t="s">
        <v>74</v>
      </c>
      <c r="BI763">
        <v>4</v>
      </c>
      <c r="BJ763" t="s">
        <v>10984</v>
      </c>
      <c r="BK763" t="s">
        <v>989</v>
      </c>
      <c r="BL763" t="s">
        <v>10985</v>
      </c>
      <c r="BM763" t="s">
        <v>10986</v>
      </c>
      <c r="BN763" t="s">
        <v>74</v>
      </c>
      <c r="BO763" t="s">
        <v>74</v>
      </c>
      <c r="BP763" t="s">
        <v>74</v>
      </c>
      <c r="BQ763" t="s">
        <v>74</v>
      </c>
      <c r="BR763" t="s">
        <v>97</v>
      </c>
      <c r="BS763" t="s">
        <v>10996</v>
      </c>
      <c r="BT763" t="str">
        <f>HYPERLINK("https%3A%2F%2Fwww.webofscience.com%2Fwos%2Fwoscc%2Ffull-record%2FWOS:000232300900016","View Full Record in Web of Science")</f>
        <v>View Full Record in Web of Science</v>
      </c>
    </row>
    <row r="764" spans="1:72" x14ac:dyDescent="0.15">
      <c r="A764" t="s">
        <v>1269</v>
      </c>
      <c r="B764" t="s">
        <v>10997</v>
      </c>
      <c r="C764" t="s">
        <v>74</v>
      </c>
      <c r="D764" t="s">
        <v>10998</v>
      </c>
      <c r="E764" t="s">
        <v>74</v>
      </c>
      <c r="F764" t="s">
        <v>10999</v>
      </c>
      <c r="G764" t="s">
        <v>74</v>
      </c>
      <c r="H764" t="s">
        <v>74</v>
      </c>
      <c r="I764" t="s">
        <v>11000</v>
      </c>
      <c r="J764" t="s">
        <v>11001</v>
      </c>
      <c r="K764" t="s">
        <v>11002</v>
      </c>
      <c r="L764" t="s">
        <v>74</v>
      </c>
      <c r="M764" t="s">
        <v>77</v>
      </c>
      <c r="N764" t="s">
        <v>495</v>
      </c>
      <c r="O764" t="s">
        <v>11003</v>
      </c>
      <c r="P764" t="s">
        <v>11004</v>
      </c>
      <c r="Q764" t="s">
        <v>11005</v>
      </c>
      <c r="R764" t="s">
        <v>74</v>
      </c>
      <c r="S764" t="s">
        <v>74</v>
      </c>
      <c r="T764" t="s">
        <v>74</v>
      </c>
      <c r="U764" t="s">
        <v>11006</v>
      </c>
      <c r="V764" t="s">
        <v>11007</v>
      </c>
      <c r="W764" t="s">
        <v>11008</v>
      </c>
      <c r="X764" t="s">
        <v>11009</v>
      </c>
      <c r="Y764" t="s">
        <v>11010</v>
      </c>
      <c r="Z764" t="s">
        <v>74</v>
      </c>
      <c r="AA764" t="s">
        <v>74</v>
      </c>
      <c r="AB764" t="s">
        <v>74</v>
      </c>
      <c r="AC764" t="s">
        <v>74</v>
      </c>
      <c r="AD764" t="s">
        <v>74</v>
      </c>
      <c r="AE764" t="s">
        <v>74</v>
      </c>
      <c r="AF764" t="s">
        <v>74</v>
      </c>
      <c r="AG764">
        <v>8</v>
      </c>
      <c r="AH764">
        <v>0</v>
      </c>
      <c r="AI764">
        <v>0</v>
      </c>
      <c r="AJ764">
        <v>0</v>
      </c>
      <c r="AK764">
        <v>0</v>
      </c>
      <c r="AL764" t="s">
        <v>11011</v>
      </c>
      <c r="AM764" t="s">
        <v>2150</v>
      </c>
      <c r="AN764" t="s">
        <v>11012</v>
      </c>
      <c r="AO764" t="s">
        <v>11013</v>
      </c>
      <c r="AP764" t="s">
        <v>74</v>
      </c>
      <c r="AQ764" t="s">
        <v>11014</v>
      </c>
      <c r="AR764" t="s">
        <v>11015</v>
      </c>
      <c r="AS764" t="s">
        <v>74</v>
      </c>
      <c r="AT764" t="s">
        <v>74</v>
      </c>
      <c r="AU764">
        <v>2005</v>
      </c>
      <c r="AV764">
        <v>13</v>
      </c>
      <c r="AW764" t="s">
        <v>74</v>
      </c>
      <c r="AX764" t="s">
        <v>74</v>
      </c>
      <c r="AY764" t="s">
        <v>74</v>
      </c>
      <c r="AZ764" t="s">
        <v>74</v>
      </c>
      <c r="BA764" t="s">
        <v>74</v>
      </c>
      <c r="BB764">
        <v>860</v>
      </c>
      <c r="BC764">
        <v>863</v>
      </c>
      <c r="BD764" t="s">
        <v>74</v>
      </c>
      <c r="BE764" t="s">
        <v>74</v>
      </c>
      <c r="BF764" t="s">
        <v>74</v>
      </c>
      <c r="BG764" t="s">
        <v>74</v>
      </c>
      <c r="BH764" t="s">
        <v>74</v>
      </c>
      <c r="BI764">
        <v>4</v>
      </c>
      <c r="BJ764" t="s">
        <v>853</v>
      </c>
      <c r="BK764" t="s">
        <v>989</v>
      </c>
      <c r="BL764" t="s">
        <v>853</v>
      </c>
      <c r="BM764" t="s">
        <v>11016</v>
      </c>
      <c r="BN764" t="s">
        <v>74</v>
      </c>
      <c r="BO764" t="s">
        <v>74</v>
      </c>
      <c r="BP764" t="s">
        <v>74</v>
      </c>
      <c r="BQ764" t="s">
        <v>74</v>
      </c>
      <c r="BR764" t="s">
        <v>97</v>
      </c>
      <c r="BS764" t="s">
        <v>11017</v>
      </c>
      <c r="BT764" t="str">
        <f>HYPERLINK("https%3A%2F%2Fwww.webofscience.com%2Fwos%2Fwoscc%2Ffull-record%2FWOS:000240768700240","View Full Record in Web of Science")</f>
        <v>View Full Record in Web of Science</v>
      </c>
    </row>
    <row r="765" spans="1:72" x14ac:dyDescent="0.15">
      <c r="A765" t="s">
        <v>1269</v>
      </c>
      <c r="B765" t="s">
        <v>11018</v>
      </c>
      <c r="C765" t="s">
        <v>74</v>
      </c>
      <c r="D765" t="s">
        <v>10998</v>
      </c>
      <c r="E765" t="s">
        <v>74</v>
      </c>
      <c r="F765" t="s">
        <v>11019</v>
      </c>
      <c r="G765" t="s">
        <v>74</v>
      </c>
      <c r="H765" t="s">
        <v>74</v>
      </c>
      <c r="I765" t="s">
        <v>11020</v>
      </c>
      <c r="J765" t="s">
        <v>11001</v>
      </c>
      <c r="K765" t="s">
        <v>11002</v>
      </c>
      <c r="L765" t="s">
        <v>74</v>
      </c>
      <c r="M765" t="s">
        <v>77</v>
      </c>
      <c r="N765" t="s">
        <v>495</v>
      </c>
      <c r="O765" t="s">
        <v>11003</v>
      </c>
      <c r="P765" t="s">
        <v>11004</v>
      </c>
      <c r="Q765" t="s">
        <v>11005</v>
      </c>
      <c r="R765" t="s">
        <v>74</v>
      </c>
      <c r="S765" t="s">
        <v>74</v>
      </c>
      <c r="T765" t="s">
        <v>74</v>
      </c>
      <c r="U765" t="s">
        <v>11021</v>
      </c>
      <c r="V765" t="s">
        <v>11022</v>
      </c>
      <c r="W765" t="s">
        <v>11023</v>
      </c>
      <c r="X765" t="s">
        <v>11024</v>
      </c>
      <c r="Y765" t="s">
        <v>11025</v>
      </c>
      <c r="Z765" t="s">
        <v>74</v>
      </c>
      <c r="AA765" t="s">
        <v>74</v>
      </c>
      <c r="AB765" t="s">
        <v>74</v>
      </c>
      <c r="AC765" t="s">
        <v>74</v>
      </c>
      <c r="AD765" t="s">
        <v>74</v>
      </c>
      <c r="AE765" t="s">
        <v>74</v>
      </c>
      <c r="AF765" t="s">
        <v>74</v>
      </c>
      <c r="AG765">
        <v>7</v>
      </c>
      <c r="AH765">
        <v>0</v>
      </c>
      <c r="AI765">
        <v>0</v>
      </c>
      <c r="AJ765">
        <v>0</v>
      </c>
      <c r="AK765">
        <v>0</v>
      </c>
      <c r="AL765" t="s">
        <v>11011</v>
      </c>
      <c r="AM765" t="s">
        <v>2150</v>
      </c>
      <c r="AN765" t="s">
        <v>11012</v>
      </c>
      <c r="AO765" t="s">
        <v>11013</v>
      </c>
      <c r="AP765" t="s">
        <v>74</v>
      </c>
      <c r="AQ765" t="s">
        <v>11014</v>
      </c>
      <c r="AR765" t="s">
        <v>11015</v>
      </c>
      <c r="AS765" t="s">
        <v>74</v>
      </c>
      <c r="AT765" t="s">
        <v>74</v>
      </c>
      <c r="AU765">
        <v>2005</v>
      </c>
      <c r="AV765">
        <v>13</v>
      </c>
      <c r="AW765" t="s">
        <v>74</v>
      </c>
      <c r="AX765" t="s">
        <v>74</v>
      </c>
      <c r="AY765" t="s">
        <v>74</v>
      </c>
      <c r="AZ765" t="s">
        <v>74</v>
      </c>
      <c r="BA765" t="s">
        <v>74</v>
      </c>
      <c r="BB765">
        <v>945</v>
      </c>
      <c r="BC765">
        <v>946</v>
      </c>
      <c r="BD765" t="s">
        <v>74</v>
      </c>
      <c r="BE765" t="s">
        <v>74</v>
      </c>
      <c r="BF765" t="s">
        <v>74</v>
      </c>
      <c r="BG765" t="s">
        <v>74</v>
      </c>
      <c r="BH765" t="s">
        <v>74</v>
      </c>
      <c r="BI765">
        <v>2</v>
      </c>
      <c r="BJ765" t="s">
        <v>853</v>
      </c>
      <c r="BK765" t="s">
        <v>989</v>
      </c>
      <c r="BL765" t="s">
        <v>853</v>
      </c>
      <c r="BM765" t="s">
        <v>11016</v>
      </c>
      <c r="BN765" t="s">
        <v>74</v>
      </c>
      <c r="BO765" t="s">
        <v>3093</v>
      </c>
      <c r="BP765" t="s">
        <v>74</v>
      </c>
      <c r="BQ765" t="s">
        <v>74</v>
      </c>
      <c r="BR765" t="s">
        <v>97</v>
      </c>
      <c r="BS765" t="s">
        <v>11026</v>
      </c>
      <c r="BT765" t="str">
        <f>HYPERLINK("https%3A%2F%2Fwww.webofscience.com%2Fwos%2Fwoscc%2Ffull-record%2FWOS:000240768700277","View Full Record in Web of Science")</f>
        <v>View Full Record in Web of Science</v>
      </c>
    </row>
    <row r="766" spans="1:72" x14ac:dyDescent="0.15">
      <c r="A766" t="s">
        <v>1269</v>
      </c>
      <c r="B766" t="s">
        <v>11027</v>
      </c>
      <c r="C766" t="s">
        <v>74</v>
      </c>
      <c r="D766" t="s">
        <v>10998</v>
      </c>
      <c r="E766" t="s">
        <v>74</v>
      </c>
      <c r="F766" t="s">
        <v>11028</v>
      </c>
      <c r="G766" t="s">
        <v>74</v>
      </c>
      <c r="H766" t="s">
        <v>74</v>
      </c>
      <c r="I766" t="s">
        <v>11029</v>
      </c>
      <c r="J766" t="s">
        <v>11001</v>
      </c>
      <c r="K766" t="s">
        <v>11002</v>
      </c>
      <c r="L766" t="s">
        <v>74</v>
      </c>
      <c r="M766" t="s">
        <v>77</v>
      </c>
      <c r="N766" t="s">
        <v>495</v>
      </c>
      <c r="O766" t="s">
        <v>11003</v>
      </c>
      <c r="P766" t="s">
        <v>11004</v>
      </c>
      <c r="Q766" t="s">
        <v>11005</v>
      </c>
      <c r="R766" t="s">
        <v>74</v>
      </c>
      <c r="S766" t="s">
        <v>74</v>
      </c>
      <c r="T766" t="s">
        <v>74</v>
      </c>
      <c r="U766" t="s">
        <v>11030</v>
      </c>
      <c r="V766" t="s">
        <v>11031</v>
      </c>
      <c r="W766" t="s">
        <v>6694</v>
      </c>
      <c r="X766" t="s">
        <v>3601</v>
      </c>
      <c r="Y766" t="s">
        <v>11032</v>
      </c>
      <c r="Z766" t="s">
        <v>74</v>
      </c>
      <c r="AA766" t="s">
        <v>74</v>
      </c>
      <c r="AB766" t="s">
        <v>74</v>
      </c>
      <c r="AC766" t="s">
        <v>74</v>
      </c>
      <c r="AD766" t="s">
        <v>74</v>
      </c>
      <c r="AE766" t="s">
        <v>74</v>
      </c>
      <c r="AF766" t="s">
        <v>74</v>
      </c>
      <c r="AG766">
        <v>8</v>
      </c>
      <c r="AH766">
        <v>0</v>
      </c>
      <c r="AI766">
        <v>0</v>
      </c>
      <c r="AJ766">
        <v>1</v>
      </c>
      <c r="AK766">
        <v>1</v>
      </c>
      <c r="AL766" t="s">
        <v>11011</v>
      </c>
      <c r="AM766" t="s">
        <v>2150</v>
      </c>
      <c r="AN766" t="s">
        <v>11012</v>
      </c>
      <c r="AO766" t="s">
        <v>11013</v>
      </c>
      <c r="AP766" t="s">
        <v>74</v>
      </c>
      <c r="AQ766" t="s">
        <v>11014</v>
      </c>
      <c r="AR766" t="s">
        <v>11015</v>
      </c>
      <c r="AS766" t="s">
        <v>74</v>
      </c>
      <c r="AT766" t="s">
        <v>74</v>
      </c>
      <c r="AU766">
        <v>2005</v>
      </c>
      <c r="AV766">
        <v>13</v>
      </c>
      <c r="AW766" t="s">
        <v>74</v>
      </c>
      <c r="AX766" t="s">
        <v>74</v>
      </c>
      <c r="AY766" t="s">
        <v>74</v>
      </c>
      <c r="AZ766" t="s">
        <v>74</v>
      </c>
      <c r="BA766" t="s">
        <v>74</v>
      </c>
      <c r="BB766">
        <v>947</v>
      </c>
      <c r="BC766">
        <v>948</v>
      </c>
      <c r="BD766" t="s">
        <v>74</v>
      </c>
      <c r="BE766" t="s">
        <v>74</v>
      </c>
      <c r="BF766" t="s">
        <v>74</v>
      </c>
      <c r="BG766" t="s">
        <v>74</v>
      </c>
      <c r="BH766" t="s">
        <v>74</v>
      </c>
      <c r="BI766">
        <v>2</v>
      </c>
      <c r="BJ766" t="s">
        <v>853</v>
      </c>
      <c r="BK766" t="s">
        <v>989</v>
      </c>
      <c r="BL766" t="s">
        <v>853</v>
      </c>
      <c r="BM766" t="s">
        <v>11016</v>
      </c>
      <c r="BN766" t="s">
        <v>74</v>
      </c>
      <c r="BO766" t="s">
        <v>74</v>
      </c>
      <c r="BP766" t="s">
        <v>74</v>
      </c>
      <c r="BQ766" t="s">
        <v>74</v>
      </c>
      <c r="BR766" t="s">
        <v>97</v>
      </c>
      <c r="BS766" t="s">
        <v>11033</v>
      </c>
      <c r="BT766" t="str">
        <f>HYPERLINK("https%3A%2F%2Fwww.webofscience.com%2Fwos%2Fwoscc%2Ffull-record%2FWOS:000240768700278","View Full Record in Web of Science")</f>
        <v>View Full Record in Web of Science</v>
      </c>
    </row>
    <row r="767" spans="1:72" x14ac:dyDescent="0.15">
      <c r="A767" t="s">
        <v>1269</v>
      </c>
      <c r="B767" t="s">
        <v>11034</v>
      </c>
      <c r="C767" t="s">
        <v>74</v>
      </c>
      <c r="D767" t="s">
        <v>10998</v>
      </c>
      <c r="E767" t="s">
        <v>74</v>
      </c>
      <c r="F767" t="s">
        <v>11035</v>
      </c>
      <c r="G767" t="s">
        <v>74</v>
      </c>
      <c r="H767" t="s">
        <v>74</v>
      </c>
      <c r="I767" t="s">
        <v>11036</v>
      </c>
      <c r="J767" t="s">
        <v>11001</v>
      </c>
      <c r="K767" t="s">
        <v>11002</v>
      </c>
      <c r="L767" t="s">
        <v>74</v>
      </c>
      <c r="M767" t="s">
        <v>77</v>
      </c>
      <c r="N767" t="s">
        <v>495</v>
      </c>
      <c r="O767" t="s">
        <v>11003</v>
      </c>
      <c r="P767" t="s">
        <v>11004</v>
      </c>
      <c r="Q767" t="s">
        <v>11005</v>
      </c>
      <c r="R767" t="s">
        <v>74</v>
      </c>
      <c r="S767" t="s">
        <v>74</v>
      </c>
      <c r="T767" t="s">
        <v>74</v>
      </c>
      <c r="U767" t="s">
        <v>74</v>
      </c>
      <c r="V767" t="s">
        <v>11037</v>
      </c>
      <c r="W767" t="s">
        <v>11038</v>
      </c>
      <c r="X767" t="s">
        <v>9652</v>
      </c>
      <c r="Y767" t="s">
        <v>11039</v>
      </c>
      <c r="Z767" t="s">
        <v>74</v>
      </c>
      <c r="AA767" t="s">
        <v>74</v>
      </c>
      <c r="AB767" t="s">
        <v>74</v>
      </c>
      <c r="AC767" t="s">
        <v>74</v>
      </c>
      <c r="AD767" t="s">
        <v>74</v>
      </c>
      <c r="AE767" t="s">
        <v>74</v>
      </c>
      <c r="AF767" t="s">
        <v>74</v>
      </c>
      <c r="AG767">
        <v>1</v>
      </c>
      <c r="AH767">
        <v>0</v>
      </c>
      <c r="AI767">
        <v>0</v>
      </c>
      <c r="AJ767">
        <v>0</v>
      </c>
      <c r="AK767">
        <v>0</v>
      </c>
      <c r="AL767" t="s">
        <v>11011</v>
      </c>
      <c r="AM767" t="s">
        <v>2150</v>
      </c>
      <c r="AN767" t="s">
        <v>11012</v>
      </c>
      <c r="AO767" t="s">
        <v>11013</v>
      </c>
      <c r="AP767" t="s">
        <v>74</v>
      </c>
      <c r="AQ767" t="s">
        <v>11014</v>
      </c>
      <c r="AR767" t="s">
        <v>11015</v>
      </c>
      <c r="AS767" t="s">
        <v>74</v>
      </c>
      <c r="AT767" t="s">
        <v>74</v>
      </c>
      <c r="AU767">
        <v>2005</v>
      </c>
      <c r="AV767">
        <v>13</v>
      </c>
      <c r="AW767" t="s">
        <v>74</v>
      </c>
      <c r="AX767" t="s">
        <v>74</v>
      </c>
      <c r="AY767" t="s">
        <v>74</v>
      </c>
      <c r="AZ767" t="s">
        <v>74</v>
      </c>
      <c r="BA767" t="s">
        <v>74</v>
      </c>
      <c r="BB767">
        <v>949</v>
      </c>
      <c r="BC767">
        <v>950</v>
      </c>
      <c r="BD767" t="s">
        <v>74</v>
      </c>
      <c r="BE767" t="s">
        <v>74</v>
      </c>
      <c r="BF767" t="s">
        <v>74</v>
      </c>
      <c r="BG767" t="s">
        <v>74</v>
      </c>
      <c r="BH767" t="s">
        <v>74</v>
      </c>
      <c r="BI767">
        <v>2</v>
      </c>
      <c r="BJ767" t="s">
        <v>853</v>
      </c>
      <c r="BK767" t="s">
        <v>989</v>
      </c>
      <c r="BL767" t="s">
        <v>853</v>
      </c>
      <c r="BM767" t="s">
        <v>11016</v>
      </c>
      <c r="BN767" t="s">
        <v>74</v>
      </c>
      <c r="BO767" t="s">
        <v>74</v>
      </c>
      <c r="BP767" t="s">
        <v>74</v>
      </c>
      <c r="BQ767" t="s">
        <v>74</v>
      </c>
      <c r="BR767" t="s">
        <v>97</v>
      </c>
      <c r="BS767" t="s">
        <v>11040</v>
      </c>
      <c r="BT767" t="str">
        <f>HYPERLINK("https%3A%2F%2Fwww.webofscience.com%2Fwos%2Fwoscc%2Ffull-record%2FWOS:000240768700279","View Full Record in Web of Science")</f>
        <v>View Full Record in Web of Science</v>
      </c>
    </row>
    <row r="768" spans="1:72" x14ac:dyDescent="0.15">
      <c r="A768" t="s">
        <v>1269</v>
      </c>
      <c r="B768" t="s">
        <v>11041</v>
      </c>
      <c r="C768" t="s">
        <v>74</v>
      </c>
      <c r="D768" t="s">
        <v>10998</v>
      </c>
      <c r="E768" t="s">
        <v>74</v>
      </c>
      <c r="F768" t="s">
        <v>11042</v>
      </c>
      <c r="G768" t="s">
        <v>74</v>
      </c>
      <c r="H768" t="s">
        <v>74</v>
      </c>
      <c r="I768" t="s">
        <v>11043</v>
      </c>
      <c r="J768" t="s">
        <v>11001</v>
      </c>
      <c r="K768" t="s">
        <v>11002</v>
      </c>
      <c r="L768" t="s">
        <v>74</v>
      </c>
      <c r="M768" t="s">
        <v>77</v>
      </c>
      <c r="N768" t="s">
        <v>495</v>
      </c>
      <c r="O768" t="s">
        <v>11003</v>
      </c>
      <c r="P768" t="s">
        <v>11004</v>
      </c>
      <c r="Q768" t="s">
        <v>11005</v>
      </c>
      <c r="R768" t="s">
        <v>74</v>
      </c>
      <c r="S768" t="s">
        <v>74</v>
      </c>
      <c r="T768" t="s">
        <v>74</v>
      </c>
      <c r="U768" t="s">
        <v>74</v>
      </c>
      <c r="V768" t="s">
        <v>11044</v>
      </c>
      <c r="W768" t="s">
        <v>11045</v>
      </c>
      <c r="X768" t="s">
        <v>11046</v>
      </c>
      <c r="Y768" t="s">
        <v>11047</v>
      </c>
      <c r="Z768" t="s">
        <v>74</v>
      </c>
      <c r="AA768" t="s">
        <v>74</v>
      </c>
      <c r="AB768" t="s">
        <v>74</v>
      </c>
      <c r="AC768" t="s">
        <v>74</v>
      </c>
      <c r="AD768" t="s">
        <v>74</v>
      </c>
      <c r="AE768" t="s">
        <v>74</v>
      </c>
      <c r="AF768" t="s">
        <v>74</v>
      </c>
      <c r="AG768">
        <v>1</v>
      </c>
      <c r="AH768">
        <v>0</v>
      </c>
      <c r="AI768">
        <v>0</v>
      </c>
      <c r="AJ768">
        <v>0</v>
      </c>
      <c r="AK768">
        <v>0</v>
      </c>
      <c r="AL768" t="s">
        <v>11011</v>
      </c>
      <c r="AM768" t="s">
        <v>2150</v>
      </c>
      <c r="AN768" t="s">
        <v>11012</v>
      </c>
      <c r="AO768" t="s">
        <v>11013</v>
      </c>
      <c r="AP768" t="s">
        <v>74</v>
      </c>
      <c r="AQ768" t="s">
        <v>11014</v>
      </c>
      <c r="AR768" t="s">
        <v>11015</v>
      </c>
      <c r="AS768" t="s">
        <v>74</v>
      </c>
      <c r="AT768" t="s">
        <v>74</v>
      </c>
      <c r="AU768">
        <v>2005</v>
      </c>
      <c r="AV768">
        <v>13</v>
      </c>
      <c r="AW768" t="s">
        <v>74</v>
      </c>
      <c r="AX768" t="s">
        <v>74</v>
      </c>
      <c r="AY768" t="s">
        <v>74</v>
      </c>
      <c r="AZ768" t="s">
        <v>74</v>
      </c>
      <c r="BA768" t="s">
        <v>74</v>
      </c>
      <c r="BB768">
        <v>953</v>
      </c>
      <c r="BC768">
        <v>953</v>
      </c>
      <c r="BD768" t="s">
        <v>74</v>
      </c>
      <c r="BE768" t="s">
        <v>74</v>
      </c>
      <c r="BF768" t="s">
        <v>74</v>
      </c>
      <c r="BG768" t="s">
        <v>74</v>
      </c>
      <c r="BH768" t="s">
        <v>74</v>
      </c>
      <c r="BI768">
        <v>1</v>
      </c>
      <c r="BJ768" t="s">
        <v>853</v>
      </c>
      <c r="BK768" t="s">
        <v>989</v>
      </c>
      <c r="BL768" t="s">
        <v>853</v>
      </c>
      <c r="BM768" t="s">
        <v>11016</v>
      </c>
      <c r="BN768" t="s">
        <v>74</v>
      </c>
      <c r="BO768" t="s">
        <v>74</v>
      </c>
      <c r="BP768" t="s">
        <v>74</v>
      </c>
      <c r="BQ768" t="s">
        <v>74</v>
      </c>
      <c r="BR768" t="s">
        <v>97</v>
      </c>
      <c r="BS768" t="s">
        <v>11048</v>
      </c>
      <c r="BT768" t="str">
        <f>HYPERLINK("https%3A%2F%2Fwww.webofscience.com%2Fwos%2Fwoscc%2Ffull-record%2FWOS:000240768700281","View Full Record in Web of Science")</f>
        <v>View Full Record in Web of Science</v>
      </c>
    </row>
    <row r="769" spans="1:72" x14ac:dyDescent="0.15">
      <c r="A769" t="s">
        <v>1269</v>
      </c>
      <c r="B769" t="s">
        <v>11018</v>
      </c>
      <c r="C769" t="s">
        <v>74</v>
      </c>
      <c r="D769" t="s">
        <v>10998</v>
      </c>
      <c r="E769" t="s">
        <v>74</v>
      </c>
      <c r="F769" t="s">
        <v>11019</v>
      </c>
      <c r="G769" t="s">
        <v>74</v>
      </c>
      <c r="H769" t="s">
        <v>74</v>
      </c>
      <c r="I769" t="s">
        <v>11049</v>
      </c>
      <c r="J769" t="s">
        <v>11001</v>
      </c>
      <c r="K769" t="s">
        <v>11002</v>
      </c>
      <c r="L769" t="s">
        <v>74</v>
      </c>
      <c r="M769" t="s">
        <v>77</v>
      </c>
      <c r="N769" t="s">
        <v>495</v>
      </c>
      <c r="O769" t="s">
        <v>11003</v>
      </c>
      <c r="P769" t="s">
        <v>11004</v>
      </c>
      <c r="Q769" t="s">
        <v>11005</v>
      </c>
      <c r="R769" t="s">
        <v>74</v>
      </c>
      <c r="S769" t="s">
        <v>74</v>
      </c>
      <c r="T769" t="s">
        <v>74</v>
      </c>
      <c r="U769" t="s">
        <v>11050</v>
      </c>
      <c r="V769" t="s">
        <v>11051</v>
      </c>
      <c r="W769" t="s">
        <v>11023</v>
      </c>
      <c r="X769" t="s">
        <v>11052</v>
      </c>
      <c r="Y769" t="s">
        <v>11025</v>
      </c>
      <c r="Z769" t="s">
        <v>74</v>
      </c>
      <c r="AA769" t="s">
        <v>74</v>
      </c>
      <c r="AB769" t="s">
        <v>74</v>
      </c>
      <c r="AC769" t="s">
        <v>74</v>
      </c>
      <c r="AD769" t="s">
        <v>74</v>
      </c>
      <c r="AE769" t="s">
        <v>74</v>
      </c>
      <c r="AF769" t="s">
        <v>74</v>
      </c>
      <c r="AG769">
        <v>6</v>
      </c>
      <c r="AH769">
        <v>0</v>
      </c>
      <c r="AI769">
        <v>0</v>
      </c>
      <c r="AJ769">
        <v>0</v>
      </c>
      <c r="AK769">
        <v>0</v>
      </c>
      <c r="AL769" t="s">
        <v>11011</v>
      </c>
      <c r="AM769" t="s">
        <v>2150</v>
      </c>
      <c r="AN769" t="s">
        <v>11012</v>
      </c>
      <c r="AO769" t="s">
        <v>11013</v>
      </c>
      <c r="AP769" t="s">
        <v>74</v>
      </c>
      <c r="AQ769" t="s">
        <v>11014</v>
      </c>
      <c r="AR769" t="s">
        <v>11015</v>
      </c>
      <c r="AS769" t="s">
        <v>74</v>
      </c>
      <c r="AT769" t="s">
        <v>74</v>
      </c>
      <c r="AU769">
        <v>2005</v>
      </c>
      <c r="AV769">
        <v>13</v>
      </c>
      <c r="AW769" t="s">
        <v>74</v>
      </c>
      <c r="AX769" t="s">
        <v>74</v>
      </c>
      <c r="AY769" t="s">
        <v>74</v>
      </c>
      <c r="AZ769" t="s">
        <v>74</v>
      </c>
      <c r="BA769" t="s">
        <v>74</v>
      </c>
      <c r="BB769">
        <v>954</v>
      </c>
      <c r="BC769">
        <v>955</v>
      </c>
      <c r="BD769" t="s">
        <v>74</v>
      </c>
      <c r="BE769" t="s">
        <v>74</v>
      </c>
      <c r="BF769" t="s">
        <v>74</v>
      </c>
      <c r="BG769" t="s">
        <v>74</v>
      </c>
      <c r="BH769" t="s">
        <v>74</v>
      </c>
      <c r="BI769">
        <v>2</v>
      </c>
      <c r="BJ769" t="s">
        <v>853</v>
      </c>
      <c r="BK769" t="s">
        <v>989</v>
      </c>
      <c r="BL769" t="s">
        <v>853</v>
      </c>
      <c r="BM769" t="s">
        <v>11016</v>
      </c>
      <c r="BN769" t="s">
        <v>74</v>
      </c>
      <c r="BO769" t="s">
        <v>855</v>
      </c>
      <c r="BP769" t="s">
        <v>74</v>
      </c>
      <c r="BQ769" t="s">
        <v>74</v>
      </c>
      <c r="BR769" t="s">
        <v>97</v>
      </c>
      <c r="BS769" t="s">
        <v>11053</v>
      </c>
      <c r="BT769" t="str">
        <f>HYPERLINK("https%3A%2F%2Fwww.webofscience.com%2Fwos%2Fwoscc%2Ffull-record%2FWOS:000240768700282","View Full Record in Web of Science")</f>
        <v>View Full Record in Web of Science</v>
      </c>
    </row>
    <row r="770" spans="1:72" x14ac:dyDescent="0.15">
      <c r="A770" t="s">
        <v>1269</v>
      </c>
      <c r="B770" t="s">
        <v>11054</v>
      </c>
      <c r="C770" t="s">
        <v>74</v>
      </c>
      <c r="D770" t="s">
        <v>10998</v>
      </c>
      <c r="E770" t="s">
        <v>74</v>
      </c>
      <c r="F770" t="s">
        <v>11055</v>
      </c>
      <c r="G770" t="s">
        <v>74</v>
      </c>
      <c r="H770" t="s">
        <v>74</v>
      </c>
      <c r="I770" t="s">
        <v>11056</v>
      </c>
      <c r="J770" t="s">
        <v>11001</v>
      </c>
      <c r="K770" t="s">
        <v>11002</v>
      </c>
      <c r="L770" t="s">
        <v>74</v>
      </c>
      <c r="M770" t="s">
        <v>77</v>
      </c>
      <c r="N770" t="s">
        <v>495</v>
      </c>
      <c r="O770" t="s">
        <v>11003</v>
      </c>
      <c r="P770" t="s">
        <v>11004</v>
      </c>
      <c r="Q770" t="s">
        <v>11005</v>
      </c>
      <c r="R770" t="s">
        <v>74</v>
      </c>
      <c r="S770" t="s">
        <v>74</v>
      </c>
      <c r="T770" t="s">
        <v>74</v>
      </c>
      <c r="U770" t="s">
        <v>11057</v>
      </c>
      <c r="V770" t="s">
        <v>11058</v>
      </c>
      <c r="W770" t="s">
        <v>10272</v>
      </c>
      <c r="X770" t="s">
        <v>897</v>
      </c>
      <c r="Y770" t="s">
        <v>10394</v>
      </c>
      <c r="Z770" t="s">
        <v>74</v>
      </c>
      <c r="AA770" t="s">
        <v>74</v>
      </c>
      <c r="AB770" t="s">
        <v>11059</v>
      </c>
      <c r="AC770" t="s">
        <v>74</v>
      </c>
      <c r="AD770" t="s">
        <v>74</v>
      </c>
      <c r="AE770" t="s">
        <v>74</v>
      </c>
      <c r="AF770" t="s">
        <v>74</v>
      </c>
      <c r="AG770">
        <v>4</v>
      </c>
      <c r="AH770">
        <v>0</v>
      </c>
      <c r="AI770">
        <v>0</v>
      </c>
      <c r="AJ770">
        <v>0</v>
      </c>
      <c r="AK770">
        <v>0</v>
      </c>
      <c r="AL770" t="s">
        <v>11011</v>
      </c>
      <c r="AM770" t="s">
        <v>2150</v>
      </c>
      <c r="AN770" t="s">
        <v>11012</v>
      </c>
      <c r="AO770" t="s">
        <v>11013</v>
      </c>
      <c r="AP770" t="s">
        <v>74</v>
      </c>
      <c r="AQ770" t="s">
        <v>11014</v>
      </c>
      <c r="AR770" t="s">
        <v>11015</v>
      </c>
      <c r="AS770" t="s">
        <v>74</v>
      </c>
      <c r="AT770" t="s">
        <v>74</v>
      </c>
      <c r="AU770">
        <v>2005</v>
      </c>
      <c r="AV770">
        <v>13</v>
      </c>
      <c r="AW770" t="s">
        <v>74</v>
      </c>
      <c r="AX770" t="s">
        <v>74</v>
      </c>
      <c r="AY770" t="s">
        <v>74</v>
      </c>
      <c r="AZ770" t="s">
        <v>74</v>
      </c>
      <c r="BA770" t="s">
        <v>74</v>
      </c>
      <c r="BB770">
        <v>956</v>
      </c>
      <c r="BC770">
        <v>957</v>
      </c>
      <c r="BD770" t="s">
        <v>74</v>
      </c>
      <c r="BE770" t="s">
        <v>74</v>
      </c>
      <c r="BF770" t="s">
        <v>74</v>
      </c>
      <c r="BG770" t="s">
        <v>74</v>
      </c>
      <c r="BH770" t="s">
        <v>74</v>
      </c>
      <c r="BI770">
        <v>2</v>
      </c>
      <c r="BJ770" t="s">
        <v>853</v>
      </c>
      <c r="BK770" t="s">
        <v>989</v>
      </c>
      <c r="BL770" t="s">
        <v>853</v>
      </c>
      <c r="BM770" t="s">
        <v>11016</v>
      </c>
      <c r="BN770" t="s">
        <v>74</v>
      </c>
      <c r="BO770" t="s">
        <v>74</v>
      </c>
      <c r="BP770" t="s">
        <v>74</v>
      </c>
      <c r="BQ770" t="s">
        <v>74</v>
      </c>
      <c r="BR770" t="s">
        <v>97</v>
      </c>
      <c r="BS770" t="s">
        <v>11060</v>
      </c>
      <c r="BT770" t="str">
        <f>HYPERLINK("https%3A%2F%2Fwww.webofscience.com%2Fwos%2Fwoscc%2Ffull-record%2FWOS:000240768700283","View Full Record in Web of Science")</f>
        <v>View Full Record in Web of Science</v>
      </c>
    </row>
    <row r="771" spans="1:72" x14ac:dyDescent="0.15">
      <c r="A771" t="s">
        <v>1269</v>
      </c>
      <c r="B771" t="s">
        <v>11061</v>
      </c>
      <c r="C771" t="s">
        <v>74</v>
      </c>
      <c r="D771" t="s">
        <v>10998</v>
      </c>
      <c r="E771" t="s">
        <v>74</v>
      </c>
      <c r="F771" t="s">
        <v>11062</v>
      </c>
      <c r="G771" t="s">
        <v>74</v>
      </c>
      <c r="H771" t="s">
        <v>74</v>
      </c>
      <c r="I771" t="s">
        <v>11063</v>
      </c>
      <c r="J771" t="s">
        <v>11001</v>
      </c>
      <c r="K771" t="s">
        <v>11002</v>
      </c>
      <c r="L771" t="s">
        <v>74</v>
      </c>
      <c r="M771" t="s">
        <v>77</v>
      </c>
      <c r="N771" t="s">
        <v>495</v>
      </c>
      <c r="O771" t="s">
        <v>11003</v>
      </c>
      <c r="P771" t="s">
        <v>11004</v>
      </c>
      <c r="Q771" t="s">
        <v>11005</v>
      </c>
      <c r="R771" t="s">
        <v>74</v>
      </c>
      <c r="S771" t="s">
        <v>74</v>
      </c>
      <c r="T771" t="s">
        <v>74</v>
      </c>
      <c r="U771" t="s">
        <v>11057</v>
      </c>
      <c r="V771" t="s">
        <v>11064</v>
      </c>
      <c r="W771" t="s">
        <v>11065</v>
      </c>
      <c r="X771" t="s">
        <v>11066</v>
      </c>
      <c r="Y771" t="s">
        <v>11067</v>
      </c>
      <c r="Z771" t="s">
        <v>74</v>
      </c>
      <c r="AA771" t="s">
        <v>11068</v>
      </c>
      <c r="AB771" t="s">
        <v>74</v>
      </c>
      <c r="AC771" t="s">
        <v>74</v>
      </c>
      <c r="AD771" t="s">
        <v>74</v>
      </c>
      <c r="AE771" t="s">
        <v>74</v>
      </c>
      <c r="AF771" t="s">
        <v>74</v>
      </c>
      <c r="AG771">
        <v>10</v>
      </c>
      <c r="AH771">
        <v>0</v>
      </c>
      <c r="AI771">
        <v>0</v>
      </c>
      <c r="AJ771">
        <v>0</v>
      </c>
      <c r="AK771">
        <v>0</v>
      </c>
      <c r="AL771" t="s">
        <v>11011</v>
      </c>
      <c r="AM771" t="s">
        <v>2150</v>
      </c>
      <c r="AN771" t="s">
        <v>11012</v>
      </c>
      <c r="AO771" t="s">
        <v>11013</v>
      </c>
      <c r="AP771" t="s">
        <v>74</v>
      </c>
      <c r="AQ771" t="s">
        <v>11014</v>
      </c>
      <c r="AR771" t="s">
        <v>11015</v>
      </c>
      <c r="AS771" t="s">
        <v>74</v>
      </c>
      <c r="AT771" t="s">
        <v>74</v>
      </c>
      <c r="AU771">
        <v>2005</v>
      </c>
      <c r="AV771">
        <v>13</v>
      </c>
      <c r="AW771" t="s">
        <v>74</v>
      </c>
      <c r="AX771" t="s">
        <v>74</v>
      </c>
      <c r="AY771" t="s">
        <v>74</v>
      </c>
      <c r="AZ771" t="s">
        <v>74</v>
      </c>
      <c r="BA771" t="s">
        <v>74</v>
      </c>
      <c r="BB771">
        <v>960</v>
      </c>
      <c r="BC771">
        <v>961</v>
      </c>
      <c r="BD771" t="s">
        <v>74</v>
      </c>
      <c r="BE771" t="s">
        <v>74</v>
      </c>
      <c r="BF771" t="s">
        <v>74</v>
      </c>
      <c r="BG771" t="s">
        <v>74</v>
      </c>
      <c r="BH771" t="s">
        <v>74</v>
      </c>
      <c r="BI771">
        <v>2</v>
      </c>
      <c r="BJ771" t="s">
        <v>853</v>
      </c>
      <c r="BK771" t="s">
        <v>989</v>
      </c>
      <c r="BL771" t="s">
        <v>853</v>
      </c>
      <c r="BM771" t="s">
        <v>11016</v>
      </c>
      <c r="BN771" t="s">
        <v>74</v>
      </c>
      <c r="BO771" t="s">
        <v>74</v>
      </c>
      <c r="BP771" t="s">
        <v>74</v>
      </c>
      <c r="BQ771" t="s">
        <v>74</v>
      </c>
      <c r="BR771" t="s">
        <v>97</v>
      </c>
      <c r="BS771" t="s">
        <v>11069</v>
      </c>
      <c r="BT771" t="str">
        <f>HYPERLINK("https%3A%2F%2Fwww.webofscience.com%2Fwos%2Fwoscc%2Ffull-record%2FWOS:000240768700285","View Full Record in Web of Science")</f>
        <v>View Full Record in Web of Science</v>
      </c>
    </row>
    <row r="772" spans="1:72" x14ac:dyDescent="0.15">
      <c r="A772" t="s">
        <v>1269</v>
      </c>
      <c r="B772" t="s">
        <v>10325</v>
      </c>
      <c r="C772" t="s">
        <v>74</v>
      </c>
      <c r="D772" t="s">
        <v>10998</v>
      </c>
      <c r="E772" t="s">
        <v>74</v>
      </c>
      <c r="F772" t="s">
        <v>11070</v>
      </c>
      <c r="G772" t="s">
        <v>74</v>
      </c>
      <c r="H772" t="s">
        <v>74</v>
      </c>
      <c r="I772" t="s">
        <v>11071</v>
      </c>
      <c r="J772" t="s">
        <v>11001</v>
      </c>
      <c r="K772" t="s">
        <v>11002</v>
      </c>
      <c r="L772" t="s">
        <v>74</v>
      </c>
      <c r="M772" t="s">
        <v>77</v>
      </c>
      <c r="N772" t="s">
        <v>495</v>
      </c>
      <c r="O772" t="s">
        <v>11003</v>
      </c>
      <c r="P772" t="s">
        <v>11004</v>
      </c>
      <c r="Q772" t="s">
        <v>11005</v>
      </c>
      <c r="R772" t="s">
        <v>74</v>
      </c>
      <c r="S772" t="s">
        <v>74</v>
      </c>
      <c r="T772" t="s">
        <v>74</v>
      </c>
      <c r="U772" t="s">
        <v>74</v>
      </c>
      <c r="V772" t="s">
        <v>11072</v>
      </c>
      <c r="W772" t="s">
        <v>11073</v>
      </c>
      <c r="X772" t="s">
        <v>10455</v>
      </c>
      <c r="Y772" t="s">
        <v>11074</v>
      </c>
      <c r="Z772" t="s">
        <v>74</v>
      </c>
      <c r="AA772" t="s">
        <v>74</v>
      </c>
      <c r="AB772" t="s">
        <v>74</v>
      </c>
      <c r="AC772" t="s">
        <v>74</v>
      </c>
      <c r="AD772" t="s">
        <v>74</v>
      </c>
      <c r="AE772" t="s">
        <v>74</v>
      </c>
      <c r="AF772" t="s">
        <v>74</v>
      </c>
      <c r="AG772">
        <v>9</v>
      </c>
      <c r="AH772">
        <v>0</v>
      </c>
      <c r="AI772">
        <v>0</v>
      </c>
      <c r="AJ772">
        <v>0</v>
      </c>
      <c r="AK772">
        <v>0</v>
      </c>
      <c r="AL772" t="s">
        <v>11011</v>
      </c>
      <c r="AM772" t="s">
        <v>2150</v>
      </c>
      <c r="AN772" t="s">
        <v>11012</v>
      </c>
      <c r="AO772" t="s">
        <v>11013</v>
      </c>
      <c r="AP772" t="s">
        <v>74</v>
      </c>
      <c r="AQ772" t="s">
        <v>11014</v>
      </c>
      <c r="AR772" t="s">
        <v>11015</v>
      </c>
      <c r="AS772" t="s">
        <v>74</v>
      </c>
      <c r="AT772" t="s">
        <v>74</v>
      </c>
      <c r="AU772">
        <v>2005</v>
      </c>
      <c r="AV772">
        <v>13</v>
      </c>
      <c r="AW772" t="s">
        <v>74</v>
      </c>
      <c r="AX772" t="s">
        <v>74</v>
      </c>
      <c r="AY772" t="s">
        <v>74</v>
      </c>
      <c r="AZ772" t="s">
        <v>74</v>
      </c>
      <c r="BA772" t="s">
        <v>74</v>
      </c>
      <c r="BB772">
        <v>962</v>
      </c>
      <c r="BC772">
        <v>963</v>
      </c>
      <c r="BD772" t="s">
        <v>74</v>
      </c>
      <c r="BE772" t="s">
        <v>74</v>
      </c>
      <c r="BF772" t="s">
        <v>74</v>
      </c>
      <c r="BG772" t="s">
        <v>74</v>
      </c>
      <c r="BH772" t="s">
        <v>74</v>
      </c>
      <c r="BI772">
        <v>2</v>
      </c>
      <c r="BJ772" t="s">
        <v>853</v>
      </c>
      <c r="BK772" t="s">
        <v>989</v>
      </c>
      <c r="BL772" t="s">
        <v>853</v>
      </c>
      <c r="BM772" t="s">
        <v>11016</v>
      </c>
      <c r="BN772" t="s">
        <v>74</v>
      </c>
      <c r="BO772" t="s">
        <v>74</v>
      </c>
      <c r="BP772" t="s">
        <v>74</v>
      </c>
      <c r="BQ772" t="s">
        <v>74</v>
      </c>
      <c r="BR772" t="s">
        <v>97</v>
      </c>
      <c r="BS772" t="s">
        <v>11075</v>
      </c>
      <c r="BT772" t="str">
        <f>HYPERLINK("https%3A%2F%2Fwww.webofscience.com%2Fwos%2Fwoscc%2Ffull-record%2FWOS:000240768700286","View Full Record in Web of Science")</f>
        <v>View Full Record in Web of Science</v>
      </c>
    </row>
    <row r="773" spans="1:72" x14ac:dyDescent="0.15">
      <c r="A773" t="s">
        <v>1269</v>
      </c>
      <c r="B773" t="s">
        <v>11076</v>
      </c>
      <c r="C773" t="s">
        <v>74</v>
      </c>
      <c r="D773" t="s">
        <v>10998</v>
      </c>
      <c r="E773" t="s">
        <v>74</v>
      </c>
      <c r="F773" t="s">
        <v>11077</v>
      </c>
      <c r="G773" t="s">
        <v>74</v>
      </c>
      <c r="H773" t="s">
        <v>74</v>
      </c>
      <c r="I773" t="s">
        <v>11078</v>
      </c>
      <c r="J773" t="s">
        <v>11001</v>
      </c>
      <c r="K773" t="s">
        <v>11002</v>
      </c>
      <c r="L773" t="s">
        <v>74</v>
      </c>
      <c r="M773" t="s">
        <v>77</v>
      </c>
      <c r="N773" t="s">
        <v>495</v>
      </c>
      <c r="O773" t="s">
        <v>11003</v>
      </c>
      <c r="P773" t="s">
        <v>11004</v>
      </c>
      <c r="Q773" t="s">
        <v>11005</v>
      </c>
      <c r="R773" t="s">
        <v>74</v>
      </c>
      <c r="S773" t="s">
        <v>74</v>
      </c>
      <c r="T773" t="s">
        <v>74</v>
      </c>
      <c r="U773" t="s">
        <v>74</v>
      </c>
      <c r="V773" t="s">
        <v>11079</v>
      </c>
      <c r="W773" t="s">
        <v>11080</v>
      </c>
      <c r="X773" t="s">
        <v>11052</v>
      </c>
      <c r="Y773" t="s">
        <v>11081</v>
      </c>
      <c r="Z773" t="s">
        <v>74</v>
      </c>
      <c r="AA773" t="s">
        <v>74</v>
      </c>
      <c r="AB773" t="s">
        <v>74</v>
      </c>
      <c r="AC773" t="s">
        <v>74</v>
      </c>
      <c r="AD773" t="s">
        <v>74</v>
      </c>
      <c r="AE773" t="s">
        <v>74</v>
      </c>
      <c r="AF773" t="s">
        <v>74</v>
      </c>
      <c r="AG773">
        <v>0</v>
      </c>
      <c r="AH773">
        <v>0</v>
      </c>
      <c r="AI773">
        <v>0</v>
      </c>
      <c r="AJ773">
        <v>0</v>
      </c>
      <c r="AK773">
        <v>0</v>
      </c>
      <c r="AL773" t="s">
        <v>11011</v>
      </c>
      <c r="AM773" t="s">
        <v>2150</v>
      </c>
      <c r="AN773" t="s">
        <v>11012</v>
      </c>
      <c r="AO773" t="s">
        <v>11013</v>
      </c>
      <c r="AP773" t="s">
        <v>74</v>
      </c>
      <c r="AQ773" t="s">
        <v>11014</v>
      </c>
      <c r="AR773" t="s">
        <v>11015</v>
      </c>
      <c r="AS773" t="s">
        <v>74</v>
      </c>
      <c r="AT773" t="s">
        <v>74</v>
      </c>
      <c r="AU773">
        <v>2005</v>
      </c>
      <c r="AV773">
        <v>13</v>
      </c>
      <c r="AW773" t="s">
        <v>74</v>
      </c>
      <c r="AX773" t="s">
        <v>74</v>
      </c>
      <c r="AY773" t="s">
        <v>74</v>
      </c>
      <c r="AZ773" t="s">
        <v>74</v>
      </c>
      <c r="BA773" t="s">
        <v>74</v>
      </c>
      <c r="BB773">
        <v>965</v>
      </c>
      <c r="BC773">
        <v>965</v>
      </c>
      <c r="BD773" t="s">
        <v>74</v>
      </c>
      <c r="BE773" t="s">
        <v>74</v>
      </c>
      <c r="BF773" t="s">
        <v>74</v>
      </c>
      <c r="BG773" t="s">
        <v>74</v>
      </c>
      <c r="BH773" t="s">
        <v>74</v>
      </c>
      <c r="BI773">
        <v>1</v>
      </c>
      <c r="BJ773" t="s">
        <v>853</v>
      </c>
      <c r="BK773" t="s">
        <v>989</v>
      </c>
      <c r="BL773" t="s">
        <v>853</v>
      </c>
      <c r="BM773" t="s">
        <v>11016</v>
      </c>
      <c r="BN773" t="s">
        <v>74</v>
      </c>
      <c r="BO773" t="s">
        <v>74</v>
      </c>
      <c r="BP773" t="s">
        <v>74</v>
      </c>
      <c r="BQ773" t="s">
        <v>74</v>
      </c>
      <c r="BR773" t="s">
        <v>97</v>
      </c>
      <c r="BS773" t="s">
        <v>11082</v>
      </c>
      <c r="BT773" t="str">
        <f>HYPERLINK("https%3A%2F%2Fwww.webofscience.com%2Fwos%2Fwoscc%2Ffull-record%2FWOS:000240768700288","View Full Record in Web of Science")</f>
        <v>View Full Record in Web of Science</v>
      </c>
    </row>
    <row r="774" spans="1:72" x14ac:dyDescent="0.15">
      <c r="A774" t="s">
        <v>1269</v>
      </c>
      <c r="B774" t="s">
        <v>11083</v>
      </c>
      <c r="C774" t="s">
        <v>74</v>
      </c>
      <c r="D774" t="s">
        <v>10998</v>
      </c>
      <c r="E774" t="s">
        <v>74</v>
      </c>
      <c r="F774" t="s">
        <v>11084</v>
      </c>
      <c r="G774" t="s">
        <v>74</v>
      </c>
      <c r="H774" t="s">
        <v>74</v>
      </c>
      <c r="I774" t="s">
        <v>11085</v>
      </c>
      <c r="J774" t="s">
        <v>11001</v>
      </c>
      <c r="K774" t="s">
        <v>11002</v>
      </c>
      <c r="L774" t="s">
        <v>74</v>
      </c>
      <c r="M774" t="s">
        <v>77</v>
      </c>
      <c r="N774" t="s">
        <v>495</v>
      </c>
      <c r="O774" t="s">
        <v>11003</v>
      </c>
      <c r="P774" t="s">
        <v>11004</v>
      </c>
      <c r="Q774" t="s">
        <v>11005</v>
      </c>
      <c r="R774" t="s">
        <v>74</v>
      </c>
      <c r="S774" t="s">
        <v>74</v>
      </c>
      <c r="T774" t="s">
        <v>74</v>
      </c>
      <c r="U774" t="s">
        <v>11086</v>
      </c>
      <c r="V774" t="s">
        <v>11087</v>
      </c>
      <c r="W774" t="s">
        <v>11088</v>
      </c>
      <c r="X774" t="s">
        <v>11089</v>
      </c>
      <c r="Y774" t="s">
        <v>11090</v>
      </c>
      <c r="Z774" t="s">
        <v>74</v>
      </c>
      <c r="AA774" t="s">
        <v>10368</v>
      </c>
      <c r="AB774" t="s">
        <v>10369</v>
      </c>
      <c r="AC774" t="s">
        <v>74</v>
      </c>
      <c r="AD774" t="s">
        <v>74</v>
      </c>
      <c r="AE774" t="s">
        <v>74</v>
      </c>
      <c r="AF774" t="s">
        <v>74</v>
      </c>
      <c r="AG774">
        <v>14</v>
      </c>
      <c r="AH774">
        <v>0</v>
      </c>
      <c r="AI774">
        <v>0</v>
      </c>
      <c r="AJ774">
        <v>0</v>
      </c>
      <c r="AK774">
        <v>0</v>
      </c>
      <c r="AL774" t="s">
        <v>11011</v>
      </c>
      <c r="AM774" t="s">
        <v>2150</v>
      </c>
      <c r="AN774" t="s">
        <v>11012</v>
      </c>
      <c r="AO774" t="s">
        <v>11013</v>
      </c>
      <c r="AP774" t="s">
        <v>74</v>
      </c>
      <c r="AQ774" t="s">
        <v>11014</v>
      </c>
      <c r="AR774" t="s">
        <v>11015</v>
      </c>
      <c r="AS774" t="s">
        <v>74</v>
      </c>
      <c r="AT774" t="s">
        <v>74</v>
      </c>
      <c r="AU774">
        <v>2005</v>
      </c>
      <c r="AV774">
        <v>13</v>
      </c>
      <c r="AW774" t="s">
        <v>74</v>
      </c>
      <c r="AX774" t="s">
        <v>74</v>
      </c>
      <c r="AY774" t="s">
        <v>74</v>
      </c>
      <c r="AZ774" t="s">
        <v>74</v>
      </c>
      <c r="BA774" t="s">
        <v>74</v>
      </c>
      <c r="BB774">
        <v>969</v>
      </c>
      <c r="BC774">
        <v>969</v>
      </c>
      <c r="BD774" t="s">
        <v>74</v>
      </c>
      <c r="BE774" t="s">
        <v>74</v>
      </c>
      <c r="BF774" t="s">
        <v>74</v>
      </c>
      <c r="BG774" t="s">
        <v>74</v>
      </c>
      <c r="BH774" t="s">
        <v>74</v>
      </c>
      <c r="BI774">
        <v>1</v>
      </c>
      <c r="BJ774" t="s">
        <v>853</v>
      </c>
      <c r="BK774" t="s">
        <v>989</v>
      </c>
      <c r="BL774" t="s">
        <v>853</v>
      </c>
      <c r="BM774" t="s">
        <v>11016</v>
      </c>
      <c r="BN774" t="s">
        <v>74</v>
      </c>
      <c r="BO774" t="s">
        <v>74</v>
      </c>
      <c r="BP774" t="s">
        <v>74</v>
      </c>
      <c r="BQ774" t="s">
        <v>74</v>
      </c>
      <c r="BR774" t="s">
        <v>97</v>
      </c>
      <c r="BS774" t="s">
        <v>11091</v>
      </c>
      <c r="BT774" t="str">
        <f>HYPERLINK("https%3A%2F%2Fwww.webofscience.com%2Fwos%2Fwoscc%2Ffull-record%2FWOS:000240768700292","View Full Record in Web of Science")</f>
        <v>View Full Record in Web of Science</v>
      </c>
    </row>
    <row r="775" spans="1:72" x14ac:dyDescent="0.15">
      <c r="A775" t="s">
        <v>1269</v>
      </c>
      <c r="B775" t="s">
        <v>11092</v>
      </c>
      <c r="C775" t="s">
        <v>74</v>
      </c>
      <c r="D775" t="s">
        <v>10998</v>
      </c>
      <c r="E775" t="s">
        <v>74</v>
      </c>
      <c r="F775" t="s">
        <v>11093</v>
      </c>
      <c r="G775" t="s">
        <v>74</v>
      </c>
      <c r="H775" t="s">
        <v>11094</v>
      </c>
      <c r="I775" t="s">
        <v>11095</v>
      </c>
      <c r="J775" t="s">
        <v>11001</v>
      </c>
      <c r="K775" t="s">
        <v>11002</v>
      </c>
      <c r="L775" t="s">
        <v>74</v>
      </c>
      <c r="M775" t="s">
        <v>77</v>
      </c>
      <c r="N775" t="s">
        <v>495</v>
      </c>
      <c r="O775" t="s">
        <v>11003</v>
      </c>
      <c r="P775" t="s">
        <v>11004</v>
      </c>
      <c r="Q775" t="s">
        <v>11005</v>
      </c>
      <c r="R775" t="s">
        <v>74</v>
      </c>
      <c r="S775" t="s">
        <v>74</v>
      </c>
      <c r="T775" t="s">
        <v>74</v>
      </c>
      <c r="U775" t="s">
        <v>74</v>
      </c>
      <c r="V775" t="s">
        <v>11096</v>
      </c>
      <c r="W775" t="s">
        <v>11097</v>
      </c>
      <c r="X775" t="s">
        <v>10302</v>
      </c>
      <c r="Y775" t="s">
        <v>11098</v>
      </c>
      <c r="Z775" t="s">
        <v>74</v>
      </c>
      <c r="AA775" t="s">
        <v>74</v>
      </c>
      <c r="AB775" t="s">
        <v>74</v>
      </c>
      <c r="AC775" t="s">
        <v>74</v>
      </c>
      <c r="AD775" t="s">
        <v>74</v>
      </c>
      <c r="AE775" t="s">
        <v>74</v>
      </c>
      <c r="AF775" t="s">
        <v>74</v>
      </c>
      <c r="AG775">
        <v>2</v>
      </c>
      <c r="AH775">
        <v>0</v>
      </c>
      <c r="AI775">
        <v>0</v>
      </c>
      <c r="AJ775">
        <v>0</v>
      </c>
      <c r="AK775">
        <v>0</v>
      </c>
      <c r="AL775" t="s">
        <v>11011</v>
      </c>
      <c r="AM775" t="s">
        <v>2150</v>
      </c>
      <c r="AN775" t="s">
        <v>11012</v>
      </c>
      <c r="AO775" t="s">
        <v>11013</v>
      </c>
      <c r="AP775" t="s">
        <v>74</v>
      </c>
      <c r="AQ775" t="s">
        <v>11014</v>
      </c>
      <c r="AR775" t="s">
        <v>11015</v>
      </c>
      <c r="AS775" t="s">
        <v>74</v>
      </c>
      <c r="AT775" t="s">
        <v>74</v>
      </c>
      <c r="AU775">
        <v>2005</v>
      </c>
      <c r="AV775">
        <v>13</v>
      </c>
      <c r="AW775" t="s">
        <v>74</v>
      </c>
      <c r="AX775" t="s">
        <v>74</v>
      </c>
      <c r="AY775" t="s">
        <v>74</v>
      </c>
      <c r="AZ775" t="s">
        <v>74</v>
      </c>
      <c r="BA775" t="s">
        <v>74</v>
      </c>
      <c r="BB775">
        <v>972</v>
      </c>
      <c r="BC775">
        <v>972</v>
      </c>
      <c r="BD775" t="s">
        <v>74</v>
      </c>
      <c r="BE775" t="s">
        <v>74</v>
      </c>
      <c r="BF775" t="s">
        <v>74</v>
      </c>
      <c r="BG775" t="s">
        <v>74</v>
      </c>
      <c r="BH775" t="s">
        <v>74</v>
      </c>
      <c r="BI775">
        <v>1</v>
      </c>
      <c r="BJ775" t="s">
        <v>853</v>
      </c>
      <c r="BK775" t="s">
        <v>989</v>
      </c>
      <c r="BL775" t="s">
        <v>853</v>
      </c>
      <c r="BM775" t="s">
        <v>11016</v>
      </c>
      <c r="BN775" t="s">
        <v>74</v>
      </c>
      <c r="BO775" t="s">
        <v>74</v>
      </c>
      <c r="BP775" t="s">
        <v>74</v>
      </c>
      <c r="BQ775" t="s">
        <v>74</v>
      </c>
      <c r="BR775" t="s">
        <v>97</v>
      </c>
      <c r="BS775" t="s">
        <v>11099</v>
      </c>
      <c r="BT775" t="str">
        <f>HYPERLINK("https%3A%2F%2Fwww.webofscience.com%2Fwos%2Fwoscc%2Ffull-record%2FWOS:000240768700295","View Full Record in Web of Science")</f>
        <v>View Full Record in Web of Science</v>
      </c>
    </row>
    <row r="776" spans="1:72" x14ac:dyDescent="0.15">
      <c r="A776" t="s">
        <v>72</v>
      </c>
      <c r="B776" t="s">
        <v>11100</v>
      </c>
      <c r="C776" t="s">
        <v>74</v>
      </c>
      <c r="D776" t="s">
        <v>74</v>
      </c>
      <c r="E776" t="s">
        <v>74</v>
      </c>
      <c r="F776" t="s">
        <v>11100</v>
      </c>
      <c r="G776" t="s">
        <v>74</v>
      </c>
      <c r="H776" t="s">
        <v>74</v>
      </c>
      <c r="I776" t="s">
        <v>11101</v>
      </c>
      <c r="J776" t="s">
        <v>11102</v>
      </c>
      <c r="K776" t="s">
        <v>74</v>
      </c>
      <c r="L776" t="s">
        <v>74</v>
      </c>
      <c r="M776" t="s">
        <v>11103</v>
      </c>
      <c r="N776" t="s">
        <v>3561</v>
      </c>
      <c r="O776" t="s">
        <v>74</v>
      </c>
      <c r="P776" t="s">
        <v>74</v>
      </c>
      <c r="Q776" t="s">
        <v>74</v>
      </c>
      <c r="R776" t="s">
        <v>74</v>
      </c>
      <c r="S776" t="s">
        <v>74</v>
      </c>
      <c r="T776" t="s">
        <v>74</v>
      </c>
      <c r="U776" t="s">
        <v>74</v>
      </c>
      <c r="V776" t="s">
        <v>74</v>
      </c>
      <c r="W776" t="s">
        <v>74</v>
      </c>
      <c r="X776" t="s">
        <v>74</v>
      </c>
      <c r="Y776" t="s">
        <v>74</v>
      </c>
      <c r="Z776" t="s">
        <v>74</v>
      </c>
      <c r="AA776" t="s">
        <v>74</v>
      </c>
      <c r="AB776" t="s">
        <v>74</v>
      </c>
      <c r="AC776" t="s">
        <v>74</v>
      </c>
      <c r="AD776" t="s">
        <v>74</v>
      </c>
      <c r="AE776" t="s">
        <v>74</v>
      </c>
      <c r="AF776" t="s">
        <v>74</v>
      </c>
      <c r="AG776">
        <v>5</v>
      </c>
      <c r="AH776">
        <v>0</v>
      </c>
      <c r="AI776">
        <v>0</v>
      </c>
      <c r="AJ776">
        <v>0</v>
      </c>
      <c r="AK776">
        <v>0</v>
      </c>
      <c r="AL776" t="s">
        <v>11104</v>
      </c>
      <c r="AM776" t="s">
        <v>11105</v>
      </c>
      <c r="AN776" t="s">
        <v>11106</v>
      </c>
      <c r="AO776" t="s">
        <v>11107</v>
      </c>
      <c r="AP776" t="s">
        <v>74</v>
      </c>
      <c r="AQ776" t="s">
        <v>74</v>
      </c>
      <c r="AR776" t="s">
        <v>11108</v>
      </c>
      <c r="AS776" t="s">
        <v>11109</v>
      </c>
      <c r="AT776" t="s">
        <v>74</v>
      </c>
      <c r="AU776">
        <v>2005</v>
      </c>
      <c r="AV776">
        <v>84</v>
      </c>
      <c r="AW776">
        <v>3</v>
      </c>
      <c r="AX776" t="s">
        <v>74</v>
      </c>
      <c r="AY776" t="s">
        <v>74</v>
      </c>
      <c r="AZ776" t="s">
        <v>74</v>
      </c>
      <c r="BA776" t="s">
        <v>74</v>
      </c>
      <c r="BB776">
        <v>507</v>
      </c>
      <c r="BC776">
        <v>511</v>
      </c>
      <c r="BD776" t="s">
        <v>74</v>
      </c>
      <c r="BE776" t="s">
        <v>74</v>
      </c>
      <c r="BF776" t="s">
        <v>74</v>
      </c>
      <c r="BG776" t="s">
        <v>74</v>
      </c>
      <c r="BH776" t="s">
        <v>74</v>
      </c>
      <c r="BI776">
        <v>5</v>
      </c>
      <c r="BJ776" t="s">
        <v>3570</v>
      </c>
      <c r="BK776" t="s">
        <v>359</v>
      </c>
      <c r="BL776" t="s">
        <v>3570</v>
      </c>
      <c r="BM776" t="s">
        <v>11110</v>
      </c>
      <c r="BN776" t="s">
        <v>74</v>
      </c>
      <c r="BO776" t="s">
        <v>74</v>
      </c>
      <c r="BP776" t="s">
        <v>74</v>
      </c>
      <c r="BQ776" t="s">
        <v>74</v>
      </c>
      <c r="BR776" t="s">
        <v>97</v>
      </c>
      <c r="BS776" t="s">
        <v>11111</v>
      </c>
      <c r="BT776" t="str">
        <f>HYPERLINK("https%3A%2F%2Fwww.webofscience.com%2Fwos%2Fwoscc%2Ffull-record%2FWOS:000232594900010","View Full Record in Web of Science")</f>
        <v>View Full Record in Web of Science</v>
      </c>
    </row>
    <row r="777" spans="1:72" x14ac:dyDescent="0.15">
      <c r="A777" t="s">
        <v>8867</v>
      </c>
      <c r="B777" t="s">
        <v>11112</v>
      </c>
      <c r="C777" t="s">
        <v>74</v>
      </c>
      <c r="D777" t="s">
        <v>11113</v>
      </c>
      <c r="E777" t="s">
        <v>74</v>
      </c>
      <c r="F777" t="s">
        <v>11112</v>
      </c>
      <c r="G777" t="s">
        <v>74</v>
      </c>
      <c r="H777" t="s">
        <v>74</v>
      </c>
      <c r="I777" t="s">
        <v>11114</v>
      </c>
      <c r="J777" t="s">
        <v>11115</v>
      </c>
      <c r="K777" t="s">
        <v>11116</v>
      </c>
      <c r="L777" t="s">
        <v>74</v>
      </c>
      <c r="M777" t="s">
        <v>77</v>
      </c>
      <c r="N777" t="s">
        <v>8873</v>
      </c>
      <c r="O777" t="s">
        <v>11117</v>
      </c>
      <c r="P777" t="s">
        <v>11118</v>
      </c>
      <c r="Q777" t="s">
        <v>11119</v>
      </c>
      <c r="R777" t="s">
        <v>74</v>
      </c>
      <c r="S777" t="s">
        <v>11120</v>
      </c>
      <c r="T777" t="s">
        <v>11121</v>
      </c>
      <c r="U777" t="s">
        <v>11122</v>
      </c>
      <c r="V777" t="s">
        <v>11123</v>
      </c>
      <c r="W777" t="s">
        <v>11124</v>
      </c>
      <c r="X777" t="s">
        <v>11125</v>
      </c>
      <c r="Y777" t="s">
        <v>74</v>
      </c>
      <c r="Z777" t="s">
        <v>74</v>
      </c>
      <c r="AA777" t="s">
        <v>74</v>
      </c>
      <c r="AB777" t="s">
        <v>11126</v>
      </c>
      <c r="AC777" t="s">
        <v>74</v>
      </c>
      <c r="AD777" t="s">
        <v>74</v>
      </c>
      <c r="AE777" t="s">
        <v>74</v>
      </c>
      <c r="AF777" t="s">
        <v>74</v>
      </c>
      <c r="AG777">
        <v>25</v>
      </c>
      <c r="AH777">
        <v>0</v>
      </c>
      <c r="AI777">
        <v>0</v>
      </c>
      <c r="AJ777">
        <v>1</v>
      </c>
      <c r="AK777">
        <v>3</v>
      </c>
      <c r="AL777" t="s">
        <v>133</v>
      </c>
      <c r="AM777" t="s">
        <v>134</v>
      </c>
      <c r="AN777" t="s">
        <v>10038</v>
      </c>
      <c r="AO777" t="s">
        <v>11127</v>
      </c>
      <c r="AP777" t="s">
        <v>74</v>
      </c>
      <c r="AQ777" t="s">
        <v>11128</v>
      </c>
      <c r="AR777" t="s">
        <v>11129</v>
      </c>
      <c r="AS777" t="s">
        <v>74</v>
      </c>
      <c r="AT777" t="s">
        <v>74</v>
      </c>
      <c r="AU777">
        <v>2005</v>
      </c>
      <c r="AV777">
        <v>178</v>
      </c>
      <c r="AW777" t="s">
        <v>74</v>
      </c>
      <c r="AX777" t="s">
        <v>74</v>
      </c>
      <c r="AY777" t="s">
        <v>74</v>
      </c>
      <c r="AZ777" t="s">
        <v>74</v>
      </c>
      <c r="BA777" t="s">
        <v>74</v>
      </c>
      <c r="BB777">
        <v>245</v>
      </c>
      <c r="BC777">
        <v>260</v>
      </c>
      <c r="BD777" t="s">
        <v>74</v>
      </c>
      <c r="BE777" t="s">
        <v>74</v>
      </c>
      <c r="BF777" t="s">
        <v>74</v>
      </c>
      <c r="BG777" t="s">
        <v>74</v>
      </c>
      <c r="BH777" t="s">
        <v>74</v>
      </c>
      <c r="BI777">
        <v>16</v>
      </c>
      <c r="BJ777" t="s">
        <v>11130</v>
      </c>
      <c r="BK777" t="s">
        <v>11131</v>
      </c>
      <c r="BL777" t="s">
        <v>11132</v>
      </c>
      <c r="BM777" t="s">
        <v>11133</v>
      </c>
      <c r="BN777" t="s">
        <v>74</v>
      </c>
      <c r="BO777" t="s">
        <v>74</v>
      </c>
      <c r="BP777" t="s">
        <v>74</v>
      </c>
      <c r="BQ777" t="s">
        <v>74</v>
      </c>
      <c r="BR777" t="s">
        <v>97</v>
      </c>
      <c r="BS777" t="s">
        <v>11134</v>
      </c>
      <c r="BT777" t="str">
        <f>HYPERLINK("https%3A%2F%2Fwww.webofscience.com%2Fwos%2Fwoscc%2Ffull-record%2FWOS:000228779300018","View Full Record in Web of Science")</f>
        <v>View Full Record in Web of Science</v>
      </c>
    </row>
    <row r="778" spans="1:72" x14ac:dyDescent="0.15">
      <c r="A778" t="s">
        <v>72</v>
      </c>
      <c r="B778" t="s">
        <v>11135</v>
      </c>
      <c r="C778" t="s">
        <v>74</v>
      </c>
      <c r="D778" t="s">
        <v>74</v>
      </c>
      <c r="E778" t="s">
        <v>74</v>
      </c>
      <c r="F778" t="s">
        <v>11135</v>
      </c>
      <c r="G778" t="s">
        <v>74</v>
      </c>
      <c r="H778" t="s">
        <v>74</v>
      </c>
      <c r="I778" t="s">
        <v>11136</v>
      </c>
      <c r="J778" t="s">
        <v>8192</v>
      </c>
      <c r="K778" t="s">
        <v>74</v>
      </c>
      <c r="L778" t="s">
        <v>74</v>
      </c>
      <c r="M778" t="s">
        <v>77</v>
      </c>
      <c r="N778" t="s">
        <v>78</v>
      </c>
      <c r="O778" t="s">
        <v>74</v>
      </c>
      <c r="P778" t="s">
        <v>74</v>
      </c>
      <c r="Q778" t="s">
        <v>74</v>
      </c>
      <c r="R778" t="s">
        <v>74</v>
      </c>
      <c r="S778" t="s">
        <v>74</v>
      </c>
      <c r="T778" t="s">
        <v>11137</v>
      </c>
      <c r="U778" t="s">
        <v>11138</v>
      </c>
      <c r="V778" t="s">
        <v>11139</v>
      </c>
      <c r="W778" t="s">
        <v>11140</v>
      </c>
      <c r="X778" t="s">
        <v>11141</v>
      </c>
      <c r="Y778" t="s">
        <v>11142</v>
      </c>
      <c r="Z778" t="s">
        <v>11143</v>
      </c>
      <c r="AA778" t="s">
        <v>11144</v>
      </c>
      <c r="AB778" t="s">
        <v>11145</v>
      </c>
      <c r="AC778" t="s">
        <v>74</v>
      </c>
      <c r="AD778" t="s">
        <v>74</v>
      </c>
      <c r="AE778" t="s">
        <v>74</v>
      </c>
      <c r="AF778" t="s">
        <v>74</v>
      </c>
      <c r="AG778">
        <v>34</v>
      </c>
      <c r="AH778">
        <v>6</v>
      </c>
      <c r="AI778">
        <v>7</v>
      </c>
      <c r="AJ778">
        <v>0</v>
      </c>
      <c r="AK778">
        <v>8</v>
      </c>
      <c r="AL778" t="s">
        <v>133</v>
      </c>
      <c r="AM778" t="s">
        <v>374</v>
      </c>
      <c r="AN778" t="s">
        <v>375</v>
      </c>
      <c r="AO778" t="s">
        <v>8199</v>
      </c>
      <c r="AP778" t="s">
        <v>74</v>
      </c>
      <c r="AQ778" t="s">
        <v>74</v>
      </c>
      <c r="AR778" t="s">
        <v>8192</v>
      </c>
      <c r="AS778" t="s">
        <v>8200</v>
      </c>
      <c r="AT778" t="s">
        <v>10653</v>
      </c>
      <c r="AU778">
        <v>2005</v>
      </c>
      <c r="AV778">
        <v>532</v>
      </c>
      <c r="AW778" t="s">
        <v>74</v>
      </c>
      <c r="AX778" t="s">
        <v>74</v>
      </c>
      <c r="AY778" t="s">
        <v>74</v>
      </c>
      <c r="AZ778" t="s">
        <v>74</v>
      </c>
      <c r="BA778" t="s">
        <v>74</v>
      </c>
      <c r="BB778">
        <v>1</v>
      </c>
      <c r="BC778">
        <v>8</v>
      </c>
      <c r="BD778" t="s">
        <v>74</v>
      </c>
      <c r="BE778" t="s">
        <v>11146</v>
      </c>
      <c r="BF778" t="str">
        <f>HYPERLINK("http://dx.doi.org/10.1007/s10750-004-6420-8","http://dx.doi.org/10.1007/s10750-004-6420-8")</f>
        <v>http://dx.doi.org/10.1007/s10750-004-6420-8</v>
      </c>
      <c r="BG778" t="s">
        <v>74</v>
      </c>
      <c r="BH778" t="s">
        <v>74</v>
      </c>
      <c r="BI778">
        <v>8</v>
      </c>
      <c r="BJ778" t="s">
        <v>2011</v>
      </c>
      <c r="BK778" t="s">
        <v>95</v>
      </c>
      <c r="BL778" t="s">
        <v>2011</v>
      </c>
      <c r="BM778" t="s">
        <v>11147</v>
      </c>
      <c r="BN778" t="s">
        <v>74</v>
      </c>
      <c r="BO778" t="s">
        <v>74</v>
      </c>
      <c r="BP778" t="s">
        <v>74</v>
      </c>
      <c r="BQ778" t="s">
        <v>74</v>
      </c>
      <c r="BR778" t="s">
        <v>97</v>
      </c>
      <c r="BS778" t="s">
        <v>11148</v>
      </c>
      <c r="BT778" t="str">
        <f>HYPERLINK("https%3A%2F%2Fwww.webofscience.com%2Fwos%2Fwoscc%2Ffull-record%2FWOS:000226928800001","View Full Record in Web of Science")</f>
        <v>View Full Record in Web of Science</v>
      </c>
    </row>
    <row r="779" spans="1:72" x14ac:dyDescent="0.15">
      <c r="A779" t="s">
        <v>8867</v>
      </c>
      <c r="B779" t="s">
        <v>11149</v>
      </c>
      <c r="C779" t="s">
        <v>74</v>
      </c>
      <c r="D779" t="s">
        <v>11150</v>
      </c>
      <c r="E779" t="s">
        <v>74</v>
      </c>
      <c r="F779" t="s">
        <v>11149</v>
      </c>
      <c r="G779" t="s">
        <v>74</v>
      </c>
      <c r="H779" t="s">
        <v>968</v>
      </c>
      <c r="I779" t="s">
        <v>11151</v>
      </c>
      <c r="J779" t="s">
        <v>11152</v>
      </c>
      <c r="K779" t="s">
        <v>74</v>
      </c>
      <c r="L779" t="s">
        <v>74</v>
      </c>
      <c r="M779" t="s">
        <v>77</v>
      </c>
      <c r="N779" t="s">
        <v>8873</v>
      </c>
      <c r="O779" t="s">
        <v>11153</v>
      </c>
      <c r="P779" t="s">
        <v>11154</v>
      </c>
      <c r="Q779" t="s">
        <v>11155</v>
      </c>
      <c r="R779" t="s">
        <v>74</v>
      </c>
      <c r="S779" t="s">
        <v>74</v>
      </c>
      <c r="T779" t="s">
        <v>74</v>
      </c>
      <c r="U779" t="s">
        <v>11156</v>
      </c>
      <c r="V779" t="s">
        <v>11157</v>
      </c>
      <c r="W779" t="s">
        <v>11158</v>
      </c>
      <c r="X779" t="s">
        <v>11159</v>
      </c>
      <c r="Y779" t="s">
        <v>11160</v>
      </c>
      <c r="Z779" t="s">
        <v>74</v>
      </c>
      <c r="AA779" t="s">
        <v>74</v>
      </c>
      <c r="AB779" t="s">
        <v>74</v>
      </c>
      <c r="AC779" t="s">
        <v>74</v>
      </c>
      <c r="AD779" t="s">
        <v>74</v>
      </c>
      <c r="AE779" t="s">
        <v>74</v>
      </c>
      <c r="AF779" t="s">
        <v>74</v>
      </c>
      <c r="AG779">
        <v>19</v>
      </c>
      <c r="AH779">
        <v>0</v>
      </c>
      <c r="AI779">
        <v>0</v>
      </c>
      <c r="AJ779">
        <v>0</v>
      </c>
      <c r="AK779">
        <v>0</v>
      </c>
      <c r="AL779" t="s">
        <v>980</v>
      </c>
      <c r="AM779" t="s">
        <v>981</v>
      </c>
      <c r="AN779" t="s">
        <v>11161</v>
      </c>
      <c r="AO779" t="s">
        <v>74</v>
      </c>
      <c r="AP779" t="s">
        <v>74</v>
      </c>
      <c r="AQ779" t="s">
        <v>11162</v>
      </c>
      <c r="AR779" t="s">
        <v>74</v>
      </c>
      <c r="AS779" t="s">
        <v>74</v>
      </c>
      <c r="AT779" t="s">
        <v>74</v>
      </c>
      <c r="AU779">
        <v>2005</v>
      </c>
      <c r="AV779" t="s">
        <v>74</v>
      </c>
      <c r="AW779" t="s">
        <v>74</v>
      </c>
      <c r="AX779" t="s">
        <v>74</v>
      </c>
      <c r="AY779" t="s">
        <v>74</v>
      </c>
      <c r="AZ779" t="s">
        <v>74</v>
      </c>
      <c r="BA779" t="s">
        <v>74</v>
      </c>
      <c r="BB779">
        <v>440</v>
      </c>
      <c r="BC779">
        <v>443</v>
      </c>
      <c r="BD779" t="s">
        <v>74</v>
      </c>
      <c r="BE779" t="s">
        <v>74</v>
      </c>
      <c r="BF779" t="s">
        <v>74</v>
      </c>
      <c r="BG779" t="s">
        <v>74</v>
      </c>
      <c r="BH779" t="s">
        <v>74</v>
      </c>
      <c r="BI779">
        <v>4</v>
      </c>
      <c r="BJ779" t="s">
        <v>2115</v>
      </c>
      <c r="BK779" t="s">
        <v>8890</v>
      </c>
      <c r="BL779" t="s">
        <v>990</v>
      </c>
      <c r="BM779" t="s">
        <v>11163</v>
      </c>
      <c r="BN779" t="s">
        <v>74</v>
      </c>
      <c r="BO779" t="s">
        <v>74</v>
      </c>
      <c r="BP779" t="s">
        <v>74</v>
      </c>
      <c r="BQ779" t="s">
        <v>74</v>
      </c>
      <c r="BR779" t="s">
        <v>97</v>
      </c>
      <c r="BS779" t="s">
        <v>11164</v>
      </c>
      <c r="BT779" t="str">
        <f>HYPERLINK("https%3A%2F%2Fwww.webofscience.com%2Fwos%2Fwoscc%2Ffull-record%2FWOS:000230511700066","View Full Record in Web of Science")</f>
        <v>View Full Record in Web of Science</v>
      </c>
    </row>
    <row r="780" spans="1:72" x14ac:dyDescent="0.15">
      <c r="A780" t="s">
        <v>8867</v>
      </c>
      <c r="B780" t="s">
        <v>11165</v>
      </c>
      <c r="C780" t="s">
        <v>74</v>
      </c>
      <c r="D780" t="s">
        <v>74</v>
      </c>
      <c r="E780" t="s">
        <v>8869</v>
      </c>
      <c r="F780" t="s">
        <v>11165</v>
      </c>
      <c r="G780" t="s">
        <v>74</v>
      </c>
      <c r="H780" t="s">
        <v>74</v>
      </c>
      <c r="I780" t="s">
        <v>11166</v>
      </c>
      <c r="J780" t="s">
        <v>11167</v>
      </c>
      <c r="K780" t="s">
        <v>11168</v>
      </c>
      <c r="L780" t="s">
        <v>74</v>
      </c>
      <c r="M780" t="s">
        <v>77</v>
      </c>
      <c r="N780" t="s">
        <v>8873</v>
      </c>
      <c r="O780" t="s">
        <v>11169</v>
      </c>
      <c r="P780" t="s">
        <v>11170</v>
      </c>
      <c r="Q780" t="s">
        <v>11171</v>
      </c>
      <c r="R780" t="s">
        <v>74</v>
      </c>
      <c r="S780" t="s">
        <v>74</v>
      </c>
      <c r="T780" t="s">
        <v>11172</v>
      </c>
      <c r="U780" t="s">
        <v>11173</v>
      </c>
      <c r="V780" t="s">
        <v>11174</v>
      </c>
      <c r="W780" t="s">
        <v>11175</v>
      </c>
      <c r="X780" t="s">
        <v>11176</v>
      </c>
      <c r="Y780" t="s">
        <v>11177</v>
      </c>
      <c r="Z780" t="s">
        <v>74</v>
      </c>
      <c r="AA780" t="s">
        <v>11178</v>
      </c>
      <c r="AB780" t="s">
        <v>11179</v>
      </c>
      <c r="AC780" t="s">
        <v>74</v>
      </c>
      <c r="AD780" t="s">
        <v>74</v>
      </c>
      <c r="AE780" t="s">
        <v>74</v>
      </c>
      <c r="AF780" t="s">
        <v>74</v>
      </c>
      <c r="AG780">
        <v>11</v>
      </c>
      <c r="AH780">
        <v>0</v>
      </c>
      <c r="AI780">
        <v>0</v>
      </c>
      <c r="AJ780">
        <v>0</v>
      </c>
      <c r="AK780">
        <v>0</v>
      </c>
      <c r="AL780" t="s">
        <v>8869</v>
      </c>
      <c r="AM780" t="s">
        <v>134</v>
      </c>
      <c r="AN780" t="s">
        <v>8884</v>
      </c>
      <c r="AO780" t="s">
        <v>74</v>
      </c>
      <c r="AP780" t="s">
        <v>74</v>
      </c>
      <c r="AQ780" t="s">
        <v>11180</v>
      </c>
      <c r="AR780" t="s">
        <v>11181</v>
      </c>
      <c r="AS780" t="s">
        <v>74</v>
      </c>
      <c r="AT780" t="s">
        <v>74</v>
      </c>
      <c r="AU780">
        <v>2005</v>
      </c>
      <c r="AV780" t="s">
        <v>74</v>
      </c>
      <c r="AW780" t="s">
        <v>74</v>
      </c>
      <c r="AX780" t="s">
        <v>74</v>
      </c>
      <c r="AY780" t="s">
        <v>74</v>
      </c>
      <c r="AZ780" t="s">
        <v>74</v>
      </c>
      <c r="BA780" t="s">
        <v>74</v>
      </c>
      <c r="BB780">
        <v>1932</v>
      </c>
      <c r="BC780">
        <v>1935</v>
      </c>
      <c r="BD780" t="s">
        <v>74</v>
      </c>
      <c r="BE780" t="s">
        <v>74</v>
      </c>
      <c r="BF780" t="s">
        <v>74</v>
      </c>
      <c r="BG780" t="s">
        <v>74</v>
      </c>
      <c r="BH780" t="s">
        <v>74</v>
      </c>
      <c r="BI780">
        <v>4</v>
      </c>
      <c r="BJ780" t="s">
        <v>11182</v>
      </c>
      <c r="BK780" t="s">
        <v>8890</v>
      </c>
      <c r="BL780" t="s">
        <v>11183</v>
      </c>
      <c r="BM780" t="s">
        <v>11184</v>
      </c>
      <c r="BN780" t="s">
        <v>74</v>
      </c>
      <c r="BO780" t="s">
        <v>74</v>
      </c>
      <c r="BP780" t="s">
        <v>74</v>
      </c>
      <c r="BQ780" t="s">
        <v>74</v>
      </c>
      <c r="BR780" t="s">
        <v>97</v>
      </c>
      <c r="BS780" t="s">
        <v>11185</v>
      </c>
      <c r="BT780" t="str">
        <f>HYPERLINK("https%3A%2F%2Fwww.webofscience.com%2Fwos%2Fwoscc%2Ffull-record%2FWOS:000237237602112","View Full Record in Web of Science")</f>
        <v>View Full Record in Web of Science</v>
      </c>
    </row>
    <row r="781" spans="1:72" x14ac:dyDescent="0.15">
      <c r="A781" t="s">
        <v>8867</v>
      </c>
      <c r="B781" t="s">
        <v>11186</v>
      </c>
      <c r="C781" t="s">
        <v>74</v>
      </c>
      <c r="D781" t="s">
        <v>74</v>
      </c>
      <c r="E781" t="s">
        <v>8869</v>
      </c>
      <c r="F781" t="s">
        <v>11186</v>
      </c>
      <c r="G781" t="s">
        <v>74</v>
      </c>
      <c r="H781" t="s">
        <v>74</v>
      </c>
      <c r="I781" t="s">
        <v>11187</v>
      </c>
      <c r="J781" t="s">
        <v>11188</v>
      </c>
      <c r="K781" t="s">
        <v>11189</v>
      </c>
      <c r="L781" t="s">
        <v>74</v>
      </c>
      <c r="M781" t="s">
        <v>77</v>
      </c>
      <c r="N781" t="s">
        <v>8873</v>
      </c>
      <c r="O781" t="s">
        <v>11169</v>
      </c>
      <c r="P781" t="s">
        <v>11170</v>
      </c>
      <c r="Q781" t="s">
        <v>11171</v>
      </c>
      <c r="R781" t="s">
        <v>74</v>
      </c>
      <c r="S781" t="s">
        <v>74</v>
      </c>
      <c r="T781" t="s">
        <v>11190</v>
      </c>
      <c r="U781" t="s">
        <v>11191</v>
      </c>
      <c r="V781" t="s">
        <v>11192</v>
      </c>
      <c r="W781" t="s">
        <v>11193</v>
      </c>
      <c r="X781" t="s">
        <v>4790</v>
      </c>
      <c r="Y781" t="s">
        <v>11194</v>
      </c>
      <c r="Z781" t="s">
        <v>11195</v>
      </c>
      <c r="AA781" t="s">
        <v>8396</v>
      </c>
      <c r="AB781" t="s">
        <v>74</v>
      </c>
      <c r="AC781" t="s">
        <v>74</v>
      </c>
      <c r="AD781" t="s">
        <v>74</v>
      </c>
      <c r="AE781" t="s">
        <v>74</v>
      </c>
      <c r="AF781" t="s">
        <v>74</v>
      </c>
      <c r="AG781">
        <v>15</v>
      </c>
      <c r="AH781">
        <v>0</v>
      </c>
      <c r="AI781">
        <v>0</v>
      </c>
      <c r="AJ781">
        <v>0</v>
      </c>
      <c r="AK781">
        <v>1</v>
      </c>
      <c r="AL781" t="s">
        <v>8869</v>
      </c>
      <c r="AM781" t="s">
        <v>134</v>
      </c>
      <c r="AN781" t="s">
        <v>8884</v>
      </c>
      <c r="AO781" t="s">
        <v>11196</v>
      </c>
      <c r="AP781" t="s">
        <v>74</v>
      </c>
      <c r="AQ781" t="s">
        <v>11180</v>
      </c>
      <c r="AR781" t="s">
        <v>11181</v>
      </c>
      <c r="AS781" t="s">
        <v>74</v>
      </c>
      <c r="AT781" t="s">
        <v>74</v>
      </c>
      <c r="AU781">
        <v>2005</v>
      </c>
      <c r="AV781" t="s">
        <v>74</v>
      </c>
      <c r="AW781" t="s">
        <v>74</v>
      </c>
      <c r="AX781" t="s">
        <v>74</v>
      </c>
      <c r="AY781" t="s">
        <v>74</v>
      </c>
      <c r="AZ781" t="s">
        <v>74</v>
      </c>
      <c r="BA781" t="s">
        <v>74</v>
      </c>
      <c r="BB781">
        <v>2652</v>
      </c>
      <c r="BC781">
        <v>2655</v>
      </c>
      <c r="BD781" t="s">
        <v>74</v>
      </c>
      <c r="BE781" t="s">
        <v>74</v>
      </c>
      <c r="BF781" t="s">
        <v>74</v>
      </c>
      <c r="BG781" t="s">
        <v>74</v>
      </c>
      <c r="BH781" t="s">
        <v>74</v>
      </c>
      <c r="BI781">
        <v>4</v>
      </c>
      <c r="BJ781" t="s">
        <v>11182</v>
      </c>
      <c r="BK781" t="s">
        <v>8890</v>
      </c>
      <c r="BL781" t="s">
        <v>11183</v>
      </c>
      <c r="BM781" t="s">
        <v>11184</v>
      </c>
      <c r="BN781" t="s">
        <v>74</v>
      </c>
      <c r="BO781" t="s">
        <v>74</v>
      </c>
      <c r="BP781" t="s">
        <v>74</v>
      </c>
      <c r="BQ781" t="s">
        <v>74</v>
      </c>
      <c r="BR781" t="s">
        <v>97</v>
      </c>
      <c r="BS781" t="s">
        <v>11197</v>
      </c>
      <c r="BT781" t="str">
        <f>HYPERLINK("https%3A%2F%2Fwww.webofscience.com%2Fwos%2Fwoscc%2Ffull-record%2FWOS:000237237603109","View Full Record in Web of Science")</f>
        <v>View Full Record in Web of Science</v>
      </c>
    </row>
    <row r="782" spans="1:72" x14ac:dyDescent="0.15">
      <c r="A782" t="s">
        <v>8867</v>
      </c>
      <c r="B782" t="s">
        <v>11198</v>
      </c>
      <c r="C782" t="s">
        <v>74</v>
      </c>
      <c r="D782" t="s">
        <v>74</v>
      </c>
      <c r="E782" t="s">
        <v>8869</v>
      </c>
      <c r="F782" t="s">
        <v>11198</v>
      </c>
      <c r="G782" t="s">
        <v>74</v>
      </c>
      <c r="H782" t="s">
        <v>74</v>
      </c>
      <c r="I782" t="s">
        <v>11199</v>
      </c>
      <c r="J782" t="s">
        <v>11167</v>
      </c>
      <c r="K782" t="s">
        <v>11168</v>
      </c>
      <c r="L782" t="s">
        <v>74</v>
      </c>
      <c r="M782" t="s">
        <v>77</v>
      </c>
      <c r="N782" t="s">
        <v>8873</v>
      </c>
      <c r="O782" t="s">
        <v>11169</v>
      </c>
      <c r="P782" t="s">
        <v>11170</v>
      </c>
      <c r="Q782" t="s">
        <v>11171</v>
      </c>
      <c r="R782" t="s">
        <v>74</v>
      </c>
      <c r="S782" t="s">
        <v>74</v>
      </c>
      <c r="T782" t="s">
        <v>74</v>
      </c>
      <c r="U782" t="s">
        <v>11200</v>
      </c>
      <c r="V782" t="s">
        <v>11201</v>
      </c>
      <c r="W782" t="s">
        <v>11202</v>
      </c>
      <c r="X782" t="s">
        <v>11203</v>
      </c>
      <c r="Y782" t="s">
        <v>11204</v>
      </c>
      <c r="Z782" t="s">
        <v>74</v>
      </c>
      <c r="AA782" t="s">
        <v>74</v>
      </c>
      <c r="AB782" t="s">
        <v>11205</v>
      </c>
      <c r="AC782" t="s">
        <v>74</v>
      </c>
      <c r="AD782" t="s">
        <v>74</v>
      </c>
      <c r="AE782" t="s">
        <v>74</v>
      </c>
      <c r="AF782" t="s">
        <v>74</v>
      </c>
      <c r="AG782">
        <v>6</v>
      </c>
      <c r="AH782">
        <v>1</v>
      </c>
      <c r="AI782">
        <v>2</v>
      </c>
      <c r="AJ782">
        <v>0</v>
      </c>
      <c r="AK782">
        <v>4</v>
      </c>
      <c r="AL782" t="s">
        <v>8869</v>
      </c>
      <c r="AM782" t="s">
        <v>134</v>
      </c>
      <c r="AN782" t="s">
        <v>8884</v>
      </c>
      <c r="AO782" t="s">
        <v>74</v>
      </c>
      <c r="AP782" t="s">
        <v>74</v>
      </c>
      <c r="AQ782" t="s">
        <v>11180</v>
      </c>
      <c r="AR782" t="s">
        <v>11181</v>
      </c>
      <c r="AS782" t="s">
        <v>74</v>
      </c>
      <c r="AT782" t="s">
        <v>74</v>
      </c>
      <c r="AU782">
        <v>2005</v>
      </c>
      <c r="AV782" t="s">
        <v>74</v>
      </c>
      <c r="AW782" t="s">
        <v>74</v>
      </c>
      <c r="AX782" t="s">
        <v>74</v>
      </c>
      <c r="AY782" t="s">
        <v>74</v>
      </c>
      <c r="AZ782" t="s">
        <v>74</v>
      </c>
      <c r="BA782" t="s">
        <v>74</v>
      </c>
      <c r="BB782">
        <v>2726</v>
      </c>
      <c r="BC782">
        <v>2728</v>
      </c>
      <c r="BD782" t="s">
        <v>74</v>
      </c>
      <c r="BE782" t="s">
        <v>74</v>
      </c>
      <c r="BF782" t="s">
        <v>74</v>
      </c>
      <c r="BG782" t="s">
        <v>74</v>
      </c>
      <c r="BH782" t="s">
        <v>74</v>
      </c>
      <c r="BI782">
        <v>3</v>
      </c>
      <c r="BJ782" t="s">
        <v>11182</v>
      </c>
      <c r="BK782" t="s">
        <v>8890</v>
      </c>
      <c r="BL782" t="s">
        <v>11183</v>
      </c>
      <c r="BM782" t="s">
        <v>11184</v>
      </c>
      <c r="BN782" t="s">
        <v>74</v>
      </c>
      <c r="BO782" t="s">
        <v>74</v>
      </c>
      <c r="BP782" t="s">
        <v>74</v>
      </c>
      <c r="BQ782" t="s">
        <v>74</v>
      </c>
      <c r="BR782" t="s">
        <v>97</v>
      </c>
      <c r="BS782" t="s">
        <v>11206</v>
      </c>
      <c r="BT782" t="str">
        <f>HYPERLINK("https%3A%2F%2Fwww.webofscience.com%2Fwos%2Fwoscc%2Ffull-record%2FWOS:000237237603128","View Full Record in Web of Science")</f>
        <v>View Full Record in Web of Science</v>
      </c>
    </row>
    <row r="783" spans="1:72" x14ac:dyDescent="0.15">
      <c r="A783" t="s">
        <v>8867</v>
      </c>
      <c r="B783" t="s">
        <v>11207</v>
      </c>
      <c r="C783" t="s">
        <v>74</v>
      </c>
      <c r="D783" t="s">
        <v>74</v>
      </c>
      <c r="E783" t="s">
        <v>8869</v>
      </c>
      <c r="F783" t="s">
        <v>11207</v>
      </c>
      <c r="G783" t="s">
        <v>74</v>
      </c>
      <c r="H783" t="s">
        <v>74</v>
      </c>
      <c r="I783" t="s">
        <v>11208</v>
      </c>
      <c r="J783" t="s">
        <v>11167</v>
      </c>
      <c r="K783" t="s">
        <v>11168</v>
      </c>
      <c r="L783" t="s">
        <v>74</v>
      </c>
      <c r="M783" t="s">
        <v>77</v>
      </c>
      <c r="N783" t="s">
        <v>8873</v>
      </c>
      <c r="O783" t="s">
        <v>11169</v>
      </c>
      <c r="P783" t="s">
        <v>11170</v>
      </c>
      <c r="Q783" t="s">
        <v>11171</v>
      </c>
      <c r="R783" t="s">
        <v>74</v>
      </c>
      <c r="S783" t="s">
        <v>74</v>
      </c>
      <c r="T783" t="s">
        <v>11209</v>
      </c>
      <c r="U783" t="s">
        <v>74</v>
      </c>
      <c r="V783" t="s">
        <v>11210</v>
      </c>
      <c r="W783" t="s">
        <v>11211</v>
      </c>
      <c r="X783" t="s">
        <v>11212</v>
      </c>
      <c r="Y783" t="s">
        <v>11213</v>
      </c>
      <c r="Z783" t="s">
        <v>74</v>
      </c>
      <c r="AA783" t="s">
        <v>74</v>
      </c>
      <c r="AB783" t="s">
        <v>74</v>
      </c>
      <c r="AC783" t="s">
        <v>74</v>
      </c>
      <c r="AD783" t="s">
        <v>74</v>
      </c>
      <c r="AE783" t="s">
        <v>74</v>
      </c>
      <c r="AF783" t="s">
        <v>74</v>
      </c>
      <c r="AG783">
        <v>10</v>
      </c>
      <c r="AH783">
        <v>2</v>
      </c>
      <c r="AI783">
        <v>3</v>
      </c>
      <c r="AJ783">
        <v>0</v>
      </c>
      <c r="AK783">
        <v>5</v>
      </c>
      <c r="AL783" t="s">
        <v>8869</v>
      </c>
      <c r="AM783" t="s">
        <v>134</v>
      </c>
      <c r="AN783" t="s">
        <v>8884</v>
      </c>
      <c r="AO783" t="s">
        <v>74</v>
      </c>
      <c r="AP783" t="s">
        <v>74</v>
      </c>
      <c r="AQ783" t="s">
        <v>11180</v>
      </c>
      <c r="AR783" t="s">
        <v>11181</v>
      </c>
      <c r="AS783" t="s">
        <v>74</v>
      </c>
      <c r="AT783" t="s">
        <v>74</v>
      </c>
      <c r="AU783">
        <v>2005</v>
      </c>
      <c r="AV783" t="s">
        <v>74</v>
      </c>
      <c r="AW783" t="s">
        <v>74</v>
      </c>
      <c r="AX783" t="s">
        <v>74</v>
      </c>
      <c r="AY783" t="s">
        <v>74</v>
      </c>
      <c r="AZ783" t="s">
        <v>74</v>
      </c>
      <c r="BA783" t="s">
        <v>74</v>
      </c>
      <c r="BB783">
        <v>4933</v>
      </c>
      <c r="BC783">
        <v>4937</v>
      </c>
      <c r="BD783" t="s">
        <v>74</v>
      </c>
      <c r="BE783" t="s">
        <v>74</v>
      </c>
      <c r="BF783" t="s">
        <v>74</v>
      </c>
      <c r="BG783" t="s">
        <v>74</v>
      </c>
      <c r="BH783" t="s">
        <v>74</v>
      </c>
      <c r="BI783">
        <v>5</v>
      </c>
      <c r="BJ783" t="s">
        <v>11182</v>
      </c>
      <c r="BK783" t="s">
        <v>8890</v>
      </c>
      <c r="BL783" t="s">
        <v>11183</v>
      </c>
      <c r="BM783" t="s">
        <v>11184</v>
      </c>
      <c r="BN783" t="s">
        <v>74</v>
      </c>
      <c r="BO783" t="s">
        <v>74</v>
      </c>
      <c r="BP783" t="s">
        <v>74</v>
      </c>
      <c r="BQ783" t="s">
        <v>74</v>
      </c>
      <c r="BR783" t="s">
        <v>97</v>
      </c>
      <c r="BS783" t="s">
        <v>11214</v>
      </c>
      <c r="BT783" t="str">
        <f>HYPERLINK("https%3A%2F%2Fwww.webofscience.com%2Fwos%2Fwoscc%2Ffull-record%2FWOS:000237237606108","View Full Record in Web of Science")</f>
        <v>View Full Record in Web of Science</v>
      </c>
    </row>
    <row r="784" spans="1:72" x14ac:dyDescent="0.15">
      <c r="A784" t="s">
        <v>8867</v>
      </c>
      <c r="B784" t="s">
        <v>11215</v>
      </c>
      <c r="C784" t="s">
        <v>74</v>
      </c>
      <c r="D784" t="s">
        <v>74</v>
      </c>
      <c r="E784" t="s">
        <v>8869</v>
      </c>
      <c r="F784" t="s">
        <v>11215</v>
      </c>
      <c r="G784" t="s">
        <v>74</v>
      </c>
      <c r="H784" t="s">
        <v>74</v>
      </c>
      <c r="I784" t="s">
        <v>11216</v>
      </c>
      <c r="J784" t="s">
        <v>11167</v>
      </c>
      <c r="K784" t="s">
        <v>11168</v>
      </c>
      <c r="L784" t="s">
        <v>74</v>
      </c>
      <c r="M784" t="s">
        <v>77</v>
      </c>
      <c r="N784" t="s">
        <v>8873</v>
      </c>
      <c r="O784" t="s">
        <v>11169</v>
      </c>
      <c r="P784" t="s">
        <v>11170</v>
      </c>
      <c r="Q784" t="s">
        <v>11171</v>
      </c>
      <c r="R784" t="s">
        <v>74</v>
      </c>
      <c r="S784" t="s">
        <v>74</v>
      </c>
      <c r="T784" t="s">
        <v>11217</v>
      </c>
      <c r="U784" t="s">
        <v>11218</v>
      </c>
      <c r="V784" t="s">
        <v>11219</v>
      </c>
      <c r="W784" t="s">
        <v>11220</v>
      </c>
      <c r="X784" t="s">
        <v>11221</v>
      </c>
      <c r="Y784" t="s">
        <v>11222</v>
      </c>
      <c r="Z784" t="s">
        <v>74</v>
      </c>
      <c r="AA784" t="s">
        <v>74</v>
      </c>
      <c r="AB784" t="s">
        <v>74</v>
      </c>
      <c r="AC784" t="s">
        <v>74</v>
      </c>
      <c r="AD784" t="s">
        <v>74</v>
      </c>
      <c r="AE784" t="s">
        <v>74</v>
      </c>
      <c r="AF784" t="s">
        <v>74</v>
      </c>
      <c r="AG784">
        <v>11</v>
      </c>
      <c r="AH784">
        <v>0</v>
      </c>
      <c r="AI784">
        <v>0</v>
      </c>
      <c r="AJ784">
        <v>0</v>
      </c>
      <c r="AK784">
        <v>3</v>
      </c>
      <c r="AL784" t="s">
        <v>8869</v>
      </c>
      <c r="AM784" t="s">
        <v>134</v>
      </c>
      <c r="AN784" t="s">
        <v>8884</v>
      </c>
      <c r="AO784" t="s">
        <v>74</v>
      </c>
      <c r="AP784" t="s">
        <v>74</v>
      </c>
      <c r="AQ784" t="s">
        <v>11180</v>
      </c>
      <c r="AR784" t="s">
        <v>11181</v>
      </c>
      <c r="AS784" t="s">
        <v>74</v>
      </c>
      <c r="AT784" t="s">
        <v>74</v>
      </c>
      <c r="AU784">
        <v>2005</v>
      </c>
      <c r="AV784" t="s">
        <v>74</v>
      </c>
      <c r="AW784" t="s">
        <v>74</v>
      </c>
      <c r="AX784" t="s">
        <v>74</v>
      </c>
      <c r="AY784" t="s">
        <v>74</v>
      </c>
      <c r="AZ784" t="s">
        <v>74</v>
      </c>
      <c r="BA784" t="s">
        <v>74</v>
      </c>
      <c r="BB784">
        <v>5153</v>
      </c>
      <c r="BC784">
        <v>5156</v>
      </c>
      <c r="BD784" t="s">
        <v>74</v>
      </c>
      <c r="BE784" t="s">
        <v>74</v>
      </c>
      <c r="BF784" t="s">
        <v>74</v>
      </c>
      <c r="BG784" t="s">
        <v>74</v>
      </c>
      <c r="BH784" t="s">
        <v>74</v>
      </c>
      <c r="BI784">
        <v>4</v>
      </c>
      <c r="BJ784" t="s">
        <v>11182</v>
      </c>
      <c r="BK784" t="s">
        <v>8890</v>
      </c>
      <c r="BL784" t="s">
        <v>11183</v>
      </c>
      <c r="BM784" t="s">
        <v>11184</v>
      </c>
      <c r="BN784" t="s">
        <v>74</v>
      </c>
      <c r="BO784" t="s">
        <v>74</v>
      </c>
      <c r="BP784" t="s">
        <v>74</v>
      </c>
      <c r="BQ784" t="s">
        <v>74</v>
      </c>
      <c r="BR784" t="s">
        <v>97</v>
      </c>
      <c r="BS784" t="s">
        <v>11223</v>
      </c>
      <c r="BT784" t="str">
        <f>HYPERLINK("https%3A%2F%2Fwww.webofscience.com%2Fwos%2Fwoscc%2Ffull-record%2FWOS:000237237606167","View Full Record in Web of Science")</f>
        <v>View Full Record in Web of Science</v>
      </c>
    </row>
    <row r="785" spans="1:72" x14ac:dyDescent="0.15">
      <c r="A785" t="s">
        <v>8867</v>
      </c>
      <c r="B785" t="s">
        <v>11224</v>
      </c>
      <c r="C785" t="s">
        <v>74</v>
      </c>
      <c r="D785" t="s">
        <v>74</v>
      </c>
      <c r="E785" t="s">
        <v>8869</v>
      </c>
      <c r="F785" t="s">
        <v>11224</v>
      </c>
      <c r="G785" t="s">
        <v>74</v>
      </c>
      <c r="H785" t="s">
        <v>74</v>
      </c>
      <c r="I785" t="s">
        <v>11225</v>
      </c>
      <c r="J785" t="s">
        <v>11167</v>
      </c>
      <c r="K785" t="s">
        <v>11168</v>
      </c>
      <c r="L785" t="s">
        <v>74</v>
      </c>
      <c r="M785" t="s">
        <v>77</v>
      </c>
      <c r="N785" t="s">
        <v>8873</v>
      </c>
      <c r="O785" t="s">
        <v>11169</v>
      </c>
      <c r="P785" t="s">
        <v>11170</v>
      </c>
      <c r="Q785" t="s">
        <v>11171</v>
      </c>
      <c r="R785" t="s">
        <v>74</v>
      </c>
      <c r="S785" t="s">
        <v>74</v>
      </c>
      <c r="T785" t="s">
        <v>11226</v>
      </c>
      <c r="U785" t="s">
        <v>11227</v>
      </c>
      <c r="V785" t="s">
        <v>11228</v>
      </c>
      <c r="W785" t="s">
        <v>11229</v>
      </c>
      <c r="X785" t="s">
        <v>11230</v>
      </c>
      <c r="Y785" t="s">
        <v>11231</v>
      </c>
      <c r="Z785" t="s">
        <v>74</v>
      </c>
      <c r="AA785" t="s">
        <v>74</v>
      </c>
      <c r="AB785" t="s">
        <v>74</v>
      </c>
      <c r="AC785" t="s">
        <v>74</v>
      </c>
      <c r="AD785" t="s">
        <v>74</v>
      </c>
      <c r="AE785" t="s">
        <v>74</v>
      </c>
      <c r="AF785" t="s">
        <v>74</v>
      </c>
      <c r="AG785">
        <v>12</v>
      </c>
      <c r="AH785">
        <v>0</v>
      </c>
      <c r="AI785">
        <v>0</v>
      </c>
      <c r="AJ785">
        <v>0</v>
      </c>
      <c r="AK785">
        <v>2</v>
      </c>
      <c r="AL785" t="s">
        <v>8869</v>
      </c>
      <c r="AM785" t="s">
        <v>134</v>
      </c>
      <c r="AN785" t="s">
        <v>8884</v>
      </c>
      <c r="AO785" t="s">
        <v>74</v>
      </c>
      <c r="AP785" t="s">
        <v>74</v>
      </c>
      <c r="AQ785" t="s">
        <v>11180</v>
      </c>
      <c r="AR785" t="s">
        <v>11181</v>
      </c>
      <c r="AS785" t="s">
        <v>74</v>
      </c>
      <c r="AT785" t="s">
        <v>74</v>
      </c>
      <c r="AU785">
        <v>2005</v>
      </c>
      <c r="AV785" t="s">
        <v>74</v>
      </c>
      <c r="AW785" t="s">
        <v>74</v>
      </c>
      <c r="AX785" t="s">
        <v>74</v>
      </c>
      <c r="AY785" t="s">
        <v>74</v>
      </c>
      <c r="AZ785" t="s">
        <v>74</v>
      </c>
      <c r="BA785" t="s">
        <v>74</v>
      </c>
      <c r="BB785">
        <v>5171</v>
      </c>
      <c r="BC785">
        <v>5174</v>
      </c>
      <c r="BD785" t="s">
        <v>74</v>
      </c>
      <c r="BE785" t="s">
        <v>74</v>
      </c>
      <c r="BF785" t="s">
        <v>74</v>
      </c>
      <c r="BG785" t="s">
        <v>74</v>
      </c>
      <c r="BH785" t="s">
        <v>74</v>
      </c>
      <c r="BI785">
        <v>4</v>
      </c>
      <c r="BJ785" t="s">
        <v>11182</v>
      </c>
      <c r="BK785" t="s">
        <v>8890</v>
      </c>
      <c r="BL785" t="s">
        <v>11183</v>
      </c>
      <c r="BM785" t="s">
        <v>11184</v>
      </c>
      <c r="BN785" t="s">
        <v>74</v>
      </c>
      <c r="BO785" t="s">
        <v>74</v>
      </c>
      <c r="BP785" t="s">
        <v>74</v>
      </c>
      <c r="BQ785" t="s">
        <v>74</v>
      </c>
      <c r="BR785" t="s">
        <v>97</v>
      </c>
      <c r="BS785" t="s">
        <v>11232</v>
      </c>
      <c r="BT785" t="str">
        <f>HYPERLINK("https%3A%2F%2Fwww.webofscience.com%2Fwos%2Fwoscc%2Ffull-record%2FWOS:000237237606172","View Full Record in Web of Science")</f>
        <v>View Full Record in Web of Science</v>
      </c>
    </row>
    <row r="786" spans="1:72" x14ac:dyDescent="0.15">
      <c r="A786" t="s">
        <v>8867</v>
      </c>
      <c r="B786" t="s">
        <v>11224</v>
      </c>
      <c r="C786" t="s">
        <v>74</v>
      </c>
      <c r="D786" t="s">
        <v>74</v>
      </c>
      <c r="E786" t="s">
        <v>8869</v>
      </c>
      <c r="F786" t="s">
        <v>11224</v>
      </c>
      <c r="G786" t="s">
        <v>74</v>
      </c>
      <c r="H786" t="s">
        <v>74</v>
      </c>
      <c r="I786" t="s">
        <v>11233</v>
      </c>
      <c r="J786" t="s">
        <v>11167</v>
      </c>
      <c r="K786" t="s">
        <v>11168</v>
      </c>
      <c r="L786" t="s">
        <v>74</v>
      </c>
      <c r="M786" t="s">
        <v>77</v>
      </c>
      <c r="N786" t="s">
        <v>8873</v>
      </c>
      <c r="O786" t="s">
        <v>11169</v>
      </c>
      <c r="P786" t="s">
        <v>11170</v>
      </c>
      <c r="Q786" t="s">
        <v>11171</v>
      </c>
      <c r="R786" t="s">
        <v>74</v>
      </c>
      <c r="S786" t="s">
        <v>74</v>
      </c>
      <c r="T786" t="s">
        <v>11234</v>
      </c>
      <c r="U786" t="s">
        <v>11235</v>
      </c>
      <c r="V786" t="s">
        <v>11236</v>
      </c>
      <c r="W786" t="s">
        <v>11237</v>
      </c>
      <c r="X786" t="s">
        <v>11230</v>
      </c>
      <c r="Y786" t="s">
        <v>11238</v>
      </c>
      <c r="Z786" t="s">
        <v>74</v>
      </c>
      <c r="AA786" t="s">
        <v>74</v>
      </c>
      <c r="AB786" t="s">
        <v>74</v>
      </c>
      <c r="AC786" t="s">
        <v>74</v>
      </c>
      <c r="AD786" t="s">
        <v>74</v>
      </c>
      <c r="AE786" t="s">
        <v>74</v>
      </c>
      <c r="AF786" t="s">
        <v>74</v>
      </c>
      <c r="AG786">
        <v>11</v>
      </c>
      <c r="AH786">
        <v>0</v>
      </c>
      <c r="AI786">
        <v>0</v>
      </c>
      <c r="AJ786">
        <v>0</v>
      </c>
      <c r="AK786">
        <v>0</v>
      </c>
      <c r="AL786" t="s">
        <v>8869</v>
      </c>
      <c r="AM786" t="s">
        <v>134</v>
      </c>
      <c r="AN786" t="s">
        <v>8884</v>
      </c>
      <c r="AO786" t="s">
        <v>74</v>
      </c>
      <c r="AP786" t="s">
        <v>74</v>
      </c>
      <c r="AQ786" t="s">
        <v>11180</v>
      </c>
      <c r="AR786" t="s">
        <v>11181</v>
      </c>
      <c r="AS786" t="s">
        <v>74</v>
      </c>
      <c r="AT786" t="s">
        <v>74</v>
      </c>
      <c r="AU786">
        <v>2005</v>
      </c>
      <c r="AV786" t="s">
        <v>74</v>
      </c>
      <c r="AW786" t="s">
        <v>74</v>
      </c>
      <c r="AX786" t="s">
        <v>74</v>
      </c>
      <c r="AY786" t="s">
        <v>74</v>
      </c>
      <c r="AZ786" t="s">
        <v>74</v>
      </c>
      <c r="BA786" t="s">
        <v>74</v>
      </c>
      <c r="BB786">
        <v>5186</v>
      </c>
      <c r="BC786">
        <v>5189</v>
      </c>
      <c r="BD786" t="s">
        <v>74</v>
      </c>
      <c r="BE786" t="s">
        <v>74</v>
      </c>
      <c r="BF786" t="s">
        <v>74</v>
      </c>
      <c r="BG786" t="s">
        <v>74</v>
      </c>
      <c r="BH786" t="s">
        <v>74</v>
      </c>
      <c r="BI786">
        <v>4</v>
      </c>
      <c r="BJ786" t="s">
        <v>11182</v>
      </c>
      <c r="BK786" t="s">
        <v>8890</v>
      </c>
      <c r="BL786" t="s">
        <v>11183</v>
      </c>
      <c r="BM786" t="s">
        <v>11184</v>
      </c>
      <c r="BN786" t="s">
        <v>74</v>
      </c>
      <c r="BO786" t="s">
        <v>74</v>
      </c>
      <c r="BP786" t="s">
        <v>74</v>
      </c>
      <c r="BQ786" t="s">
        <v>74</v>
      </c>
      <c r="BR786" t="s">
        <v>97</v>
      </c>
      <c r="BS786" t="s">
        <v>11239</v>
      </c>
      <c r="BT786" t="str">
        <f>HYPERLINK("https%3A%2F%2Fwww.webofscience.com%2Fwos%2Fwoscc%2Ffull-record%2FWOS:000237237606176","View Full Record in Web of Science")</f>
        <v>View Full Record in Web of Science</v>
      </c>
    </row>
    <row r="787" spans="1:72" x14ac:dyDescent="0.15">
      <c r="A787" t="s">
        <v>8867</v>
      </c>
      <c r="B787" t="s">
        <v>11240</v>
      </c>
      <c r="C787" t="s">
        <v>74</v>
      </c>
      <c r="D787" t="s">
        <v>74</v>
      </c>
      <c r="E787" t="s">
        <v>8869</v>
      </c>
      <c r="F787" t="s">
        <v>11240</v>
      </c>
      <c r="G787" t="s">
        <v>74</v>
      </c>
      <c r="H787" t="s">
        <v>74</v>
      </c>
      <c r="I787" t="s">
        <v>11241</v>
      </c>
      <c r="J787" t="s">
        <v>11167</v>
      </c>
      <c r="K787" t="s">
        <v>11168</v>
      </c>
      <c r="L787" t="s">
        <v>74</v>
      </c>
      <c r="M787" t="s">
        <v>77</v>
      </c>
      <c r="N787" t="s">
        <v>8873</v>
      </c>
      <c r="O787" t="s">
        <v>11169</v>
      </c>
      <c r="P787" t="s">
        <v>11170</v>
      </c>
      <c r="Q787" t="s">
        <v>11171</v>
      </c>
      <c r="R787" t="s">
        <v>74</v>
      </c>
      <c r="S787" t="s">
        <v>74</v>
      </c>
      <c r="T787" t="s">
        <v>11242</v>
      </c>
      <c r="U787" t="s">
        <v>74</v>
      </c>
      <c r="V787" t="s">
        <v>11243</v>
      </c>
      <c r="W787" t="s">
        <v>11244</v>
      </c>
      <c r="X787" t="s">
        <v>74</v>
      </c>
      <c r="Y787" t="s">
        <v>11245</v>
      </c>
      <c r="Z787" t="s">
        <v>74</v>
      </c>
      <c r="AA787" t="s">
        <v>74</v>
      </c>
      <c r="AB787" t="s">
        <v>74</v>
      </c>
      <c r="AC787" t="s">
        <v>74</v>
      </c>
      <c r="AD787" t="s">
        <v>74</v>
      </c>
      <c r="AE787" t="s">
        <v>74</v>
      </c>
      <c r="AF787" t="s">
        <v>74</v>
      </c>
      <c r="AG787">
        <v>5</v>
      </c>
      <c r="AH787">
        <v>0</v>
      </c>
      <c r="AI787">
        <v>0</v>
      </c>
      <c r="AJ787">
        <v>1</v>
      </c>
      <c r="AK787">
        <v>2</v>
      </c>
      <c r="AL787" t="s">
        <v>8869</v>
      </c>
      <c r="AM787" t="s">
        <v>134</v>
      </c>
      <c r="AN787" t="s">
        <v>8884</v>
      </c>
      <c r="AO787" t="s">
        <v>74</v>
      </c>
      <c r="AP787" t="s">
        <v>74</v>
      </c>
      <c r="AQ787" t="s">
        <v>11180</v>
      </c>
      <c r="AR787" t="s">
        <v>11181</v>
      </c>
      <c r="AS787" t="s">
        <v>74</v>
      </c>
      <c r="AT787" t="s">
        <v>74</v>
      </c>
      <c r="AU787">
        <v>2005</v>
      </c>
      <c r="AV787" t="s">
        <v>74</v>
      </c>
      <c r="AW787" t="s">
        <v>74</v>
      </c>
      <c r="AX787" t="s">
        <v>74</v>
      </c>
      <c r="AY787" t="s">
        <v>74</v>
      </c>
      <c r="AZ787" t="s">
        <v>74</v>
      </c>
      <c r="BA787" t="s">
        <v>74</v>
      </c>
      <c r="BB787">
        <v>5190</v>
      </c>
      <c r="BC787">
        <v>5192</v>
      </c>
      <c r="BD787" t="s">
        <v>74</v>
      </c>
      <c r="BE787" t="s">
        <v>74</v>
      </c>
      <c r="BF787" t="s">
        <v>74</v>
      </c>
      <c r="BG787" t="s">
        <v>74</v>
      </c>
      <c r="BH787" t="s">
        <v>74</v>
      </c>
      <c r="BI787">
        <v>3</v>
      </c>
      <c r="BJ787" t="s">
        <v>11182</v>
      </c>
      <c r="BK787" t="s">
        <v>8890</v>
      </c>
      <c r="BL787" t="s">
        <v>11183</v>
      </c>
      <c r="BM787" t="s">
        <v>11184</v>
      </c>
      <c r="BN787" t="s">
        <v>74</v>
      </c>
      <c r="BO787" t="s">
        <v>74</v>
      </c>
      <c r="BP787" t="s">
        <v>74</v>
      </c>
      <c r="BQ787" t="s">
        <v>74</v>
      </c>
      <c r="BR787" t="s">
        <v>97</v>
      </c>
      <c r="BS787" t="s">
        <v>11246</v>
      </c>
      <c r="BT787" t="str">
        <f>HYPERLINK("https%3A%2F%2Fwww.webofscience.com%2Fwos%2Fwoscc%2Ffull-record%2FWOS:000237237606177","View Full Record in Web of Science")</f>
        <v>View Full Record in Web of Science</v>
      </c>
    </row>
    <row r="788" spans="1:72" x14ac:dyDescent="0.15">
      <c r="A788" t="s">
        <v>8867</v>
      </c>
      <c r="B788" t="s">
        <v>11247</v>
      </c>
      <c r="C788" t="s">
        <v>74</v>
      </c>
      <c r="D788" t="s">
        <v>74</v>
      </c>
      <c r="E788" t="s">
        <v>8869</v>
      </c>
      <c r="F788" t="s">
        <v>11247</v>
      </c>
      <c r="G788" t="s">
        <v>74</v>
      </c>
      <c r="H788" t="s">
        <v>74</v>
      </c>
      <c r="I788" t="s">
        <v>11248</v>
      </c>
      <c r="J788" t="s">
        <v>11167</v>
      </c>
      <c r="K788" t="s">
        <v>11168</v>
      </c>
      <c r="L788" t="s">
        <v>74</v>
      </c>
      <c r="M788" t="s">
        <v>77</v>
      </c>
      <c r="N788" t="s">
        <v>8873</v>
      </c>
      <c r="O788" t="s">
        <v>11169</v>
      </c>
      <c r="P788" t="s">
        <v>11170</v>
      </c>
      <c r="Q788" t="s">
        <v>11171</v>
      </c>
      <c r="R788" t="s">
        <v>74</v>
      </c>
      <c r="S788" t="s">
        <v>74</v>
      </c>
      <c r="T788" t="s">
        <v>11249</v>
      </c>
      <c r="U788" t="s">
        <v>74</v>
      </c>
      <c r="V788" t="s">
        <v>11250</v>
      </c>
      <c r="W788" t="s">
        <v>11251</v>
      </c>
      <c r="X788" t="s">
        <v>3862</v>
      </c>
      <c r="Y788" t="s">
        <v>11252</v>
      </c>
      <c r="Z788" t="s">
        <v>74</v>
      </c>
      <c r="AA788" t="s">
        <v>74</v>
      </c>
      <c r="AB788" t="s">
        <v>74</v>
      </c>
      <c r="AC788" t="s">
        <v>74</v>
      </c>
      <c r="AD788" t="s">
        <v>74</v>
      </c>
      <c r="AE788" t="s">
        <v>74</v>
      </c>
      <c r="AF788" t="s">
        <v>74</v>
      </c>
      <c r="AG788">
        <v>6</v>
      </c>
      <c r="AH788">
        <v>1</v>
      </c>
      <c r="AI788">
        <v>1</v>
      </c>
      <c r="AJ788">
        <v>0</v>
      </c>
      <c r="AK788">
        <v>3</v>
      </c>
      <c r="AL788" t="s">
        <v>8869</v>
      </c>
      <c r="AM788" t="s">
        <v>134</v>
      </c>
      <c r="AN788" t="s">
        <v>8884</v>
      </c>
      <c r="AO788" t="s">
        <v>74</v>
      </c>
      <c r="AP788" t="s">
        <v>74</v>
      </c>
      <c r="AQ788" t="s">
        <v>11180</v>
      </c>
      <c r="AR788" t="s">
        <v>11181</v>
      </c>
      <c r="AS788" t="s">
        <v>74</v>
      </c>
      <c r="AT788" t="s">
        <v>74</v>
      </c>
      <c r="AU788">
        <v>2005</v>
      </c>
      <c r="AV788" t="s">
        <v>74</v>
      </c>
      <c r="AW788" t="s">
        <v>74</v>
      </c>
      <c r="AX788" t="s">
        <v>74</v>
      </c>
      <c r="AY788" t="s">
        <v>74</v>
      </c>
      <c r="AZ788" t="s">
        <v>74</v>
      </c>
      <c r="BA788" t="s">
        <v>74</v>
      </c>
      <c r="BB788">
        <v>5452</v>
      </c>
      <c r="BC788">
        <v>5455</v>
      </c>
      <c r="BD788" t="s">
        <v>74</v>
      </c>
      <c r="BE788" t="s">
        <v>74</v>
      </c>
      <c r="BF788" t="s">
        <v>74</v>
      </c>
      <c r="BG788" t="s">
        <v>74</v>
      </c>
      <c r="BH788" t="s">
        <v>74</v>
      </c>
      <c r="BI788">
        <v>4</v>
      </c>
      <c r="BJ788" t="s">
        <v>11182</v>
      </c>
      <c r="BK788" t="s">
        <v>8890</v>
      </c>
      <c r="BL788" t="s">
        <v>11183</v>
      </c>
      <c r="BM788" t="s">
        <v>11184</v>
      </c>
      <c r="BN788" t="s">
        <v>74</v>
      </c>
      <c r="BO788" t="s">
        <v>74</v>
      </c>
      <c r="BP788" t="s">
        <v>74</v>
      </c>
      <c r="BQ788" t="s">
        <v>74</v>
      </c>
      <c r="BR788" t="s">
        <v>97</v>
      </c>
      <c r="BS788" t="s">
        <v>11253</v>
      </c>
      <c r="BT788" t="str">
        <f>HYPERLINK("https%3A%2F%2Fwww.webofscience.com%2Fwos%2Fwoscc%2Ffull-record%2FWOS:000237237607036","View Full Record in Web of Science")</f>
        <v>View Full Record in Web of Science</v>
      </c>
    </row>
    <row r="789" spans="1:72" x14ac:dyDescent="0.15">
      <c r="A789" t="s">
        <v>1269</v>
      </c>
      <c r="B789" t="s">
        <v>11254</v>
      </c>
      <c r="C789" t="s">
        <v>74</v>
      </c>
      <c r="D789" t="s">
        <v>11255</v>
      </c>
      <c r="E789" t="s">
        <v>74</v>
      </c>
      <c r="F789" t="s">
        <v>11256</v>
      </c>
      <c r="G789" t="s">
        <v>74</v>
      </c>
      <c r="H789" t="s">
        <v>74</v>
      </c>
      <c r="I789" t="s">
        <v>11257</v>
      </c>
      <c r="J789" t="s">
        <v>11258</v>
      </c>
      <c r="K789" t="s">
        <v>11259</v>
      </c>
      <c r="L789" t="s">
        <v>74</v>
      </c>
      <c r="M789" t="s">
        <v>77</v>
      </c>
      <c r="N789" t="s">
        <v>8991</v>
      </c>
      <c r="O789" t="s">
        <v>74</v>
      </c>
      <c r="P789" t="s">
        <v>74</v>
      </c>
      <c r="Q789" t="s">
        <v>74</v>
      </c>
      <c r="R789" t="s">
        <v>74</v>
      </c>
      <c r="S789" t="s">
        <v>74</v>
      </c>
      <c r="T789" t="s">
        <v>74</v>
      </c>
      <c r="U789" t="s">
        <v>11260</v>
      </c>
      <c r="V789" t="s">
        <v>11261</v>
      </c>
      <c r="W789" t="s">
        <v>11262</v>
      </c>
      <c r="X789" t="s">
        <v>11263</v>
      </c>
      <c r="Y789" t="s">
        <v>11264</v>
      </c>
      <c r="Z789" t="s">
        <v>74</v>
      </c>
      <c r="AA789" t="s">
        <v>11265</v>
      </c>
      <c r="AB789" t="s">
        <v>11266</v>
      </c>
      <c r="AC789" t="s">
        <v>74</v>
      </c>
      <c r="AD789" t="s">
        <v>74</v>
      </c>
      <c r="AE789" t="s">
        <v>74</v>
      </c>
      <c r="AF789" t="s">
        <v>74</v>
      </c>
      <c r="AG789">
        <v>61</v>
      </c>
      <c r="AH789">
        <v>68</v>
      </c>
      <c r="AI789">
        <v>74</v>
      </c>
      <c r="AJ789">
        <v>0</v>
      </c>
      <c r="AK789">
        <v>5</v>
      </c>
      <c r="AL789" t="s">
        <v>527</v>
      </c>
      <c r="AM789" t="s">
        <v>528</v>
      </c>
      <c r="AN789" t="s">
        <v>529</v>
      </c>
      <c r="AO789" t="s">
        <v>11267</v>
      </c>
      <c r="AP789" t="s">
        <v>74</v>
      </c>
      <c r="AQ789" t="s">
        <v>11268</v>
      </c>
      <c r="AR789" t="s">
        <v>11269</v>
      </c>
      <c r="AS789" t="s">
        <v>74</v>
      </c>
      <c r="AT789" t="s">
        <v>74</v>
      </c>
      <c r="AU789">
        <v>2005</v>
      </c>
      <c r="AV789">
        <v>159</v>
      </c>
      <c r="AW789" t="s">
        <v>74</v>
      </c>
      <c r="AX789" t="s">
        <v>74</v>
      </c>
      <c r="AY789" t="s">
        <v>74</v>
      </c>
      <c r="AZ789" t="s">
        <v>74</v>
      </c>
      <c r="BA789" t="s">
        <v>74</v>
      </c>
      <c r="BB789">
        <v>101</v>
      </c>
      <c r="BC789">
        <v>112</v>
      </c>
      <c r="BD789" t="s">
        <v>74</v>
      </c>
      <c r="BE789" t="s">
        <v>11270</v>
      </c>
      <c r="BF789" t="str">
        <f>HYPERLINK("http://dx.doi.org/10.1029/159GM07","http://dx.doi.org/10.1029/159GM07")</f>
        <v>http://dx.doi.org/10.1029/159GM07</v>
      </c>
      <c r="BG789" t="s">
        <v>11271</v>
      </c>
      <c r="BH789" t="s">
        <v>74</v>
      </c>
      <c r="BI789">
        <v>12</v>
      </c>
      <c r="BJ789" t="s">
        <v>11272</v>
      </c>
      <c r="BK789" t="s">
        <v>9004</v>
      </c>
      <c r="BL789" t="s">
        <v>11272</v>
      </c>
      <c r="BM789" t="s">
        <v>11273</v>
      </c>
      <c r="BN789" t="s">
        <v>74</v>
      </c>
      <c r="BO789" t="s">
        <v>74</v>
      </c>
      <c r="BP789" t="s">
        <v>74</v>
      </c>
      <c r="BQ789" t="s">
        <v>74</v>
      </c>
      <c r="BR789" t="s">
        <v>97</v>
      </c>
      <c r="BS789" t="s">
        <v>11274</v>
      </c>
      <c r="BT789" t="str">
        <f>HYPERLINK("https%3A%2F%2Fwww.webofscience.com%2Fwos%2Fwoscc%2Ffull-record%2FWOS:000284726400006","View Full Record in Web of Science")</f>
        <v>View Full Record in Web of Science</v>
      </c>
    </row>
    <row r="790" spans="1:72" x14ac:dyDescent="0.15">
      <c r="A790" t="s">
        <v>72</v>
      </c>
      <c r="B790" t="s">
        <v>11275</v>
      </c>
      <c r="C790" t="s">
        <v>74</v>
      </c>
      <c r="D790" t="s">
        <v>74</v>
      </c>
      <c r="E790" t="s">
        <v>74</v>
      </c>
      <c r="F790" t="s">
        <v>11275</v>
      </c>
      <c r="G790" t="s">
        <v>74</v>
      </c>
      <c r="H790" t="s">
        <v>74</v>
      </c>
      <c r="I790" t="s">
        <v>11276</v>
      </c>
      <c r="J790" t="s">
        <v>11277</v>
      </c>
      <c r="K790" t="s">
        <v>74</v>
      </c>
      <c r="L790" t="s">
        <v>74</v>
      </c>
      <c r="M790" t="s">
        <v>77</v>
      </c>
      <c r="N790" t="s">
        <v>78</v>
      </c>
      <c r="O790" t="s">
        <v>74</v>
      </c>
      <c r="P790" t="s">
        <v>74</v>
      </c>
      <c r="Q790" t="s">
        <v>74</v>
      </c>
      <c r="R790" t="s">
        <v>74</v>
      </c>
      <c r="S790" t="s">
        <v>74</v>
      </c>
      <c r="T790" t="s">
        <v>11278</v>
      </c>
      <c r="U790" t="s">
        <v>11279</v>
      </c>
      <c r="V790" t="s">
        <v>11280</v>
      </c>
      <c r="W790" t="s">
        <v>11281</v>
      </c>
      <c r="X790" t="s">
        <v>11282</v>
      </c>
      <c r="Y790" t="s">
        <v>11283</v>
      </c>
      <c r="Z790" t="s">
        <v>11284</v>
      </c>
      <c r="AA790" t="s">
        <v>74</v>
      </c>
      <c r="AB790" t="s">
        <v>11285</v>
      </c>
      <c r="AC790" t="s">
        <v>74</v>
      </c>
      <c r="AD790" t="s">
        <v>74</v>
      </c>
      <c r="AE790" t="s">
        <v>74</v>
      </c>
      <c r="AF790" t="s">
        <v>74</v>
      </c>
      <c r="AG790">
        <v>23</v>
      </c>
      <c r="AH790">
        <v>40</v>
      </c>
      <c r="AI790">
        <v>45</v>
      </c>
      <c r="AJ790">
        <v>1</v>
      </c>
      <c r="AK790">
        <v>10</v>
      </c>
      <c r="AL790" t="s">
        <v>2232</v>
      </c>
      <c r="AM790" t="s">
        <v>256</v>
      </c>
      <c r="AN790" t="s">
        <v>2233</v>
      </c>
      <c r="AO790" t="s">
        <v>11286</v>
      </c>
      <c r="AP790" t="s">
        <v>74</v>
      </c>
      <c r="AQ790" t="s">
        <v>74</v>
      </c>
      <c r="AR790" t="s">
        <v>11287</v>
      </c>
      <c r="AS790" t="s">
        <v>11288</v>
      </c>
      <c r="AT790" t="s">
        <v>9676</v>
      </c>
      <c r="AU790">
        <v>2005</v>
      </c>
      <c r="AV790">
        <v>55</v>
      </c>
      <c r="AW790">
        <v>1</v>
      </c>
      <c r="AX790" t="s">
        <v>74</v>
      </c>
      <c r="AY790" t="s">
        <v>74</v>
      </c>
      <c r="AZ790" t="s">
        <v>74</v>
      </c>
      <c r="BA790" t="s">
        <v>74</v>
      </c>
      <c r="BB790">
        <v>45</v>
      </c>
      <c r="BC790">
        <v>53</v>
      </c>
      <c r="BD790" t="s">
        <v>74</v>
      </c>
      <c r="BE790" t="s">
        <v>11289</v>
      </c>
      <c r="BF790" t="str">
        <f>HYPERLINK("http://dx.doi.org/10.1016/j.ibiod.2004.06.011","http://dx.doi.org/10.1016/j.ibiod.2004.06.011")</f>
        <v>http://dx.doi.org/10.1016/j.ibiod.2004.06.011</v>
      </c>
      <c r="BG790" t="s">
        <v>74</v>
      </c>
      <c r="BH790" t="s">
        <v>74</v>
      </c>
      <c r="BI790">
        <v>9</v>
      </c>
      <c r="BJ790" t="s">
        <v>11290</v>
      </c>
      <c r="BK790" t="s">
        <v>95</v>
      </c>
      <c r="BL790" t="s">
        <v>11291</v>
      </c>
      <c r="BM790" t="s">
        <v>11292</v>
      </c>
      <c r="BN790" t="s">
        <v>74</v>
      </c>
      <c r="BO790" t="s">
        <v>74</v>
      </c>
      <c r="BP790" t="s">
        <v>74</v>
      </c>
      <c r="BQ790" t="s">
        <v>74</v>
      </c>
      <c r="BR790" t="s">
        <v>97</v>
      </c>
      <c r="BS790" t="s">
        <v>11293</v>
      </c>
      <c r="BT790" t="str">
        <f>HYPERLINK("https%3A%2F%2Fwww.webofscience.com%2Fwos%2Fwoscc%2Ffull-record%2FWOS:000226949300007","View Full Record in Web of Science")</f>
        <v>View Full Record in Web of Science</v>
      </c>
    </row>
    <row r="791" spans="1:72" x14ac:dyDescent="0.15">
      <c r="A791" t="s">
        <v>72</v>
      </c>
      <c r="B791" t="s">
        <v>11294</v>
      </c>
      <c r="C791" t="s">
        <v>74</v>
      </c>
      <c r="D791" t="s">
        <v>74</v>
      </c>
      <c r="E791" t="s">
        <v>74</v>
      </c>
      <c r="F791" t="s">
        <v>11295</v>
      </c>
      <c r="G791" t="s">
        <v>74</v>
      </c>
      <c r="H791" t="s">
        <v>74</v>
      </c>
      <c r="I791" t="s">
        <v>11296</v>
      </c>
      <c r="J791" t="s">
        <v>11297</v>
      </c>
      <c r="K791" t="s">
        <v>74</v>
      </c>
      <c r="L791" t="s">
        <v>74</v>
      </c>
      <c r="M791" t="s">
        <v>77</v>
      </c>
      <c r="N791" t="s">
        <v>78</v>
      </c>
      <c r="O791" t="s">
        <v>74</v>
      </c>
      <c r="P791" t="s">
        <v>74</v>
      </c>
      <c r="Q791" t="s">
        <v>74</v>
      </c>
      <c r="R791" t="s">
        <v>74</v>
      </c>
      <c r="S791" t="s">
        <v>74</v>
      </c>
      <c r="T791" t="s">
        <v>11298</v>
      </c>
      <c r="U791" t="s">
        <v>74</v>
      </c>
      <c r="V791" t="s">
        <v>11299</v>
      </c>
      <c r="W791" t="s">
        <v>11300</v>
      </c>
      <c r="X791" t="s">
        <v>11301</v>
      </c>
      <c r="Y791" t="s">
        <v>11302</v>
      </c>
      <c r="Z791" t="s">
        <v>11303</v>
      </c>
      <c r="AA791" t="s">
        <v>11304</v>
      </c>
      <c r="AB791" t="s">
        <v>11305</v>
      </c>
      <c r="AC791" t="s">
        <v>74</v>
      </c>
      <c r="AD791" t="s">
        <v>74</v>
      </c>
      <c r="AE791" t="s">
        <v>74</v>
      </c>
      <c r="AF791" t="s">
        <v>74</v>
      </c>
      <c r="AG791">
        <v>48</v>
      </c>
      <c r="AH791">
        <v>9</v>
      </c>
      <c r="AI791">
        <v>10</v>
      </c>
      <c r="AJ791">
        <v>0</v>
      </c>
      <c r="AK791">
        <v>1</v>
      </c>
      <c r="AL791" t="s">
        <v>11306</v>
      </c>
      <c r="AM791" t="s">
        <v>11307</v>
      </c>
      <c r="AN791" t="s">
        <v>11308</v>
      </c>
      <c r="AO791" t="s">
        <v>11309</v>
      </c>
      <c r="AP791" t="s">
        <v>11310</v>
      </c>
      <c r="AQ791" t="s">
        <v>74</v>
      </c>
      <c r="AR791" t="s">
        <v>11311</v>
      </c>
      <c r="AS791" t="s">
        <v>11312</v>
      </c>
      <c r="AT791" t="s">
        <v>74</v>
      </c>
      <c r="AU791">
        <v>2005</v>
      </c>
      <c r="AV791">
        <v>4</v>
      </c>
      <c r="AW791">
        <v>1</v>
      </c>
      <c r="AX791" t="s">
        <v>74</v>
      </c>
      <c r="AY791" t="s">
        <v>74</v>
      </c>
      <c r="AZ791" t="s">
        <v>74</v>
      </c>
      <c r="BA791" t="s">
        <v>74</v>
      </c>
      <c r="BB791">
        <v>88</v>
      </c>
      <c r="BC791">
        <v>103</v>
      </c>
      <c r="BD791" t="s">
        <v>74</v>
      </c>
      <c r="BE791" t="s">
        <v>11313</v>
      </c>
      <c r="BF791" t="str">
        <f>HYPERLINK("http://dx.doi.org/10.1504/IJESD.2005.006776","http://dx.doi.org/10.1504/IJESD.2005.006776")</f>
        <v>http://dx.doi.org/10.1504/IJESD.2005.006776</v>
      </c>
      <c r="BG791" t="s">
        <v>74</v>
      </c>
      <c r="BH791" t="s">
        <v>74</v>
      </c>
      <c r="BI791">
        <v>16</v>
      </c>
      <c r="BJ791" t="s">
        <v>11314</v>
      </c>
      <c r="BK791" t="s">
        <v>3249</v>
      </c>
      <c r="BL791" t="s">
        <v>219</v>
      </c>
      <c r="BM791" t="s">
        <v>11315</v>
      </c>
      <c r="BN791" t="s">
        <v>74</v>
      </c>
      <c r="BO791" t="s">
        <v>74</v>
      </c>
      <c r="BP791" t="s">
        <v>74</v>
      </c>
      <c r="BQ791" t="s">
        <v>74</v>
      </c>
      <c r="BR791" t="s">
        <v>97</v>
      </c>
      <c r="BS791" t="s">
        <v>11316</v>
      </c>
      <c r="BT791" t="str">
        <f>HYPERLINK("https%3A%2F%2Fwww.webofscience.com%2Fwos%2Fwoscc%2Ffull-record%2FWOS:000436501900008","View Full Record in Web of Science")</f>
        <v>View Full Record in Web of Science</v>
      </c>
    </row>
    <row r="792" spans="1:72" x14ac:dyDescent="0.15">
      <c r="A792" t="s">
        <v>72</v>
      </c>
      <c r="B792" t="s">
        <v>11317</v>
      </c>
      <c r="C792" t="s">
        <v>74</v>
      </c>
      <c r="D792" t="s">
        <v>74</v>
      </c>
      <c r="E792" t="s">
        <v>74</v>
      </c>
      <c r="F792" t="s">
        <v>11317</v>
      </c>
      <c r="G792" t="s">
        <v>74</v>
      </c>
      <c r="H792" t="s">
        <v>74</v>
      </c>
      <c r="I792" t="s">
        <v>11318</v>
      </c>
      <c r="J792" t="s">
        <v>3448</v>
      </c>
      <c r="K792" t="s">
        <v>74</v>
      </c>
      <c r="L792" t="s">
        <v>74</v>
      </c>
      <c r="M792" t="s">
        <v>77</v>
      </c>
      <c r="N792" t="s">
        <v>78</v>
      </c>
      <c r="O792" t="s">
        <v>74</v>
      </c>
      <c r="P792" t="s">
        <v>74</v>
      </c>
      <c r="Q792" t="s">
        <v>74</v>
      </c>
      <c r="R792" t="s">
        <v>74</v>
      </c>
      <c r="S792" t="s">
        <v>74</v>
      </c>
      <c r="T792" t="s">
        <v>74</v>
      </c>
      <c r="U792" t="s">
        <v>11319</v>
      </c>
      <c r="V792" t="s">
        <v>11320</v>
      </c>
      <c r="W792" t="s">
        <v>11321</v>
      </c>
      <c r="X792" t="s">
        <v>6175</v>
      </c>
      <c r="Y792" t="s">
        <v>6176</v>
      </c>
      <c r="Z792" t="s">
        <v>6177</v>
      </c>
      <c r="AA792" t="s">
        <v>6178</v>
      </c>
      <c r="AB792" t="s">
        <v>6179</v>
      </c>
      <c r="AC792" t="s">
        <v>74</v>
      </c>
      <c r="AD792" t="s">
        <v>74</v>
      </c>
      <c r="AE792" t="s">
        <v>74</v>
      </c>
      <c r="AF792" t="s">
        <v>74</v>
      </c>
      <c r="AG792">
        <v>38</v>
      </c>
      <c r="AH792">
        <v>41</v>
      </c>
      <c r="AI792">
        <v>45</v>
      </c>
      <c r="AJ792">
        <v>0</v>
      </c>
      <c r="AK792">
        <v>7</v>
      </c>
      <c r="AL792" t="s">
        <v>3457</v>
      </c>
      <c r="AM792" t="s">
        <v>739</v>
      </c>
      <c r="AN792" t="s">
        <v>3458</v>
      </c>
      <c r="AO792" t="s">
        <v>3459</v>
      </c>
      <c r="AP792" t="s">
        <v>3460</v>
      </c>
      <c r="AQ792" t="s">
        <v>74</v>
      </c>
      <c r="AR792" t="s">
        <v>3461</v>
      </c>
      <c r="AS792" t="s">
        <v>3462</v>
      </c>
      <c r="AT792" t="s">
        <v>9676</v>
      </c>
      <c r="AU792">
        <v>2005</v>
      </c>
      <c r="AV792">
        <v>55</v>
      </c>
      <c r="AW792" t="s">
        <v>74</v>
      </c>
      <c r="AX792">
        <v>1</v>
      </c>
      <c r="AY792" t="s">
        <v>74</v>
      </c>
      <c r="AZ792" t="s">
        <v>74</v>
      </c>
      <c r="BA792" t="s">
        <v>74</v>
      </c>
      <c r="BB792">
        <v>409</v>
      </c>
      <c r="BC792">
        <v>416</v>
      </c>
      <c r="BD792" t="s">
        <v>74</v>
      </c>
      <c r="BE792" t="s">
        <v>11322</v>
      </c>
      <c r="BF792" t="str">
        <f>HYPERLINK("http://dx.doi.org/10.1099/ijs.0.63273-0","http://dx.doi.org/10.1099/ijs.0.63273-0")</f>
        <v>http://dx.doi.org/10.1099/ijs.0.63273-0</v>
      </c>
      <c r="BG792" t="s">
        <v>74</v>
      </c>
      <c r="BH792" t="s">
        <v>74</v>
      </c>
      <c r="BI792">
        <v>8</v>
      </c>
      <c r="BJ792" t="s">
        <v>1507</v>
      </c>
      <c r="BK792" t="s">
        <v>95</v>
      </c>
      <c r="BL792" t="s">
        <v>1507</v>
      </c>
      <c r="BM792" t="s">
        <v>11323</v>
      </c>
      <c r="BN792">
        <v>15653910</v>
      </c>
      <c r="BO792" t="s">
        <v>74</v>
      </c>
      <c r="BP792" t="s">
        <v>74</v>
      </c>
      <c r="BQ792" t="s">
        <v>74</v>
      </c>
      <c r="BR792" t="s">
        <v>97</v>
      </c>
      <c r="BS792" t="s">
        <v>11324</v>
      </c>
      <c r="BT792" t="str">
        <f>HYPERLINK("https%3A%2F%2Fwww.webofscience.com%2Fwos%2Fwoscc%2Ffull-record%2FWOS:000226629100065","View Full Record in Web of Science")</f>
        <v>View Full Record in Web of Science</v>
      </c>
    </row>
    <row r="793" spans="1:72" x14ac:dyDescent="0.15">
      <c r="A793" t="s">
        <v>8867</v>
      </c>
      <c r="B793" t="s">
        <v>11325</v>
      </c>
      <c r="C793" t="s">
        <v>74</v>
      </c>
      <c r="D793" t="s">
        <v>11326</v>
      </c>
      <c r="E793" t="s">
        <v>74</v>
      </c>
      <c r="F793" t="s">
        <v>11325</v>
      </c>
      <c r="G793" t="s">
        <v>74</v>
      </c>
      <c r="H793" t="s">
        <v>74</v>
      </c>
      <c r="I793" t="s">
        <v>11327</v>
      </c>
      <c r="J793" t="s">
        <v>11328</v>
      </c>
      <c r="K793" t="s">
        <v>11329</v>
      </c>
      <c r="L793" t="s">
        <v>74</v>
      </c>
      <c r="M793" t="s">
        <v>77</v>
      </c>
      <c r="N793" t="s">
        <v>8873</v>
      </c>
      <c r="O793" t="s">
        <v>11330</v>
      </c>
      <c r="P793" t="s">
        <v>11331</v>
      </c>
      <c r="Q793" t="s">
        <v>11332</v>
      </c>
      <c r="R793" t="s">
        <v>74</v>
      </c>
      <c r="S793" t="s">
        <v>74</v>
      </c>
      <c r="T793" t="s">
        <v>74</v>
      </c>
      <c r="U793" t="s">
        <v>74</v>
      </c>
      <c r="V793" t="s">
        <v>11333</v>
      </c>
      <c r="W793" t="s">
        <v>5056</v>
      </c>
      <c r="X793" t="s">
        <v>349</v>
      </c>
      <c r="Y793" t="s">
        <v>74</v>
      </c>
      <c r="Z793" t="s">
        <v>74</v>
      </c>
      <c r="AA793" t="s">
        <v>74</v>
      </c>
      <c r="AB793" t="s">
        <v>74</v>
      </c>
      <c r="AC793" t="s">
        <v>74</v>
      </c>
      <c r="AD793" t="s">
        <v>74</v>
      </c>
      <c r="AE793" t="s">
        <v>74</v>
      </c>
      <c r="AF793" t="s">
        <v>74</v>
      </c>
      <c r="AG793">
        <v>0</v>
      </c>
      <c r="AH793">
        <v>0</v>
      </c>
      <c r="AI793">
        <v>0</v>
      </c>
      <c r="AJ793">
        <v>0</v>
      </c>
      <c r="AK793">
        <v>0</v>
      </c>
      <c r="AL793" t="s">
        <v>980</v>
      </c>
      <c r="AM793" t="s">
        <v>981</v>
      </c>
      <c r="AN793" t="s">
        <v>11161</v>
      </c>
      <c r="AO793" t="s">
        <v>74</v>
      </c>
      <c r="AP793" t="s">
        <v>74</v>
      </c>
      <c r="AQ793" t="s">
        <v>11334</v>
      </c>
      <c r="AR793" t="s">
        <v>11335</v>
      </c>
      <c r="AS793" t="s">
        <v>74</v>
      </c>
      <c r="AT793" t="s">
        <v>74</v>
      </c>
      <c r="AU793">
        <v>2005</v>
      </c>
      <c r="AV793" t="s">
        <v>74</v>
      </c>
      <c r="AW793" t="s">
        <v>74</v>
      </c>
      <c r="AX793" t="s">
        <v>74</v>
      </c>
      <c r="AY793" t="s">
        <v>74</v>
      </c>
      <c r="AZ793" t="s">
        <v>74</v>
      </c>
      <c r="BA793" t="s">
        <v>74</v>
      </c>
      <c r="BB793">
        <v>95</v>
      </c>
      <c r="BC793">
        <v>101</v>
      </c>
      <c r="BD793" t="s">
        <v>74</v>
      </c>
      <c r="BE793" t="s">
        <v>11336</v>
      </c>
      <c r="BF793" t="str">
        <f>HYPERLINK("http://dx.doi.org/10.1142/9789812701787_0011","http://dx.doi.org/10.1142/9789812701787_0011")</f>
        <v>http://dx.doi.org/10.1142/9789812701787_0011</v>
      </c>
      <c r="BG793" t="s">
        <v>74</v>
      </c>
      <c r="BH793" t="s">
        <v>74</v>
      </c>
      <c r="BI793">
        <v>7</v>
      </c>
      <c r="BJ793" t="s">
        <v>11337</v>
      </c>
      <c r="BK793" t="s">
        <v>11131</v>
      </c>
      <c r="BL793" t="s">
        <v>11338</v>
      </c>
      <c r="BM793" t="s">
        <v>11339</v>
      </c>
      <c r="BN793" t="s">
        <v>74</v>
      </c>
      <c r="BO793" t="s">
        <v>74</v>
      </c>
      <c r="BP793" t="s">
        <v>74</v>
      </c>
      <c r="BQ793" t="s">
        <v>74</v>
      </c>
      <c r="BR793" t="s">
        <v>97</v>
      </c>
      <c r="BS793" t="s">
        <v>11340</v>
      </c>
      <c r="BT793" t="str">
        <f>HYPERLINK("https%3A%2F%2Fwww.webofscience.com%2Fwos%2Fwoscc%2Ffull-record%2FWOS:000232581200011","View Full Record in Web of Science")</f>
        <v>View Full Record in Web of Science</v>
      </c>
    </row>
    <row r="794" spans="1:72" x14ac:dyDescent="0.15">
      <c r="A794" t="s">
        <v>72</v>
      </c>
      <c r="B794" t="s">
        <v>11341</v>
      </c>
      <c r="C794" t="s">
        <v>74</v>
      </c>
      <c r="D794" t="s">
        <v>74</v>
      </c>
      <c r="E794" t="s">
        <v>74</v>
      </c>
      <c r="F794" t="s">
        <v>11341</v>
      </c>
      <c r="G794" t="s">
        <v>74</v>
      </c>
      <c r="H794" t="s">
        <v>74</v>
      </c>
      <c r="I794" t="s">
        <v>11342</v>
      </c>
      <c r="J794" t="s">
        <v>11343</v>
      </c>
      <c r="K794" t="s">
        <v>74</v>
      </c>
      <c r="L794" t="s">
        <v>74</v>
      </c>
      <c r="M794" t="s">
        <v>77</v>
      </c>
      <c r="N794" t="s">
        <v>78</v>
      </c>
      <c r="O794" t="s">
        <v>74</v>
      </c>
      <c r="P794" t="s">
        <v>74</v>
      </c>
      <c r="Q794" t="s">
        <v>74</v>
      </c>
      <c r="R794" t="s">
        <v>74</v>
      </c>
      <c r="S794" t="s">
        <v>74</v>
      </c>
      <c r="T794" t="s">
        <v>11344</v>
      </c>
      <c r="U794" t="s">
        <v>11345</v>
      </c>
      <c r="V794" t="s">
        <v>11346</v>
      </c>
      <c r="W794" t="s">
        <v>11347</v>
      </c>
      <c r="X794" t="s">
        <v>11348</v>
      </c>
      <c r="Y794" t="s">
        <v>11349</v>
      </c>
      <c r="Z794" t="s">
        <v>11350</v>
      </c>
      <c r="AA794" t="s">
        <v>74</v>
      </c>
      <c r="AB794" t="s">
        <v>11351</v>
      </c>
      <c r="AC794" t="s">
        <v>74</v>
      </c>
      <c r="AD794" t="s">
        <v>74</v>
      </c>
      <c r="AE794" t="s">
        <v>74</v>
      </c>
      <c r="AF794" t="s">
        <v>74</v>
      </c>
      <c r="AG794">
        <v>22</v>
      </c>
      <c r="AH794">
        <v>24</v>
      </c>
      <c r="AI794">
        <v>25</v>
      </c>
      <c r="AJ794">
        <v>0</v>
      </c>
      <c r="AK794">
        <v>7</v>
      </c>
      <c r="AL794" t="s">
        <v>3752</v>
      </c>
      <c r="AM794" t="s">
        <v>473</v>
      </c>
      <c r="AN794" t="s">
        <v>474</v>
      </c>
      <c r="AO794" t="s">
        <v>11352</v>
      </c>
      <c r="AP794" t="s">
        <v>11353</v>
      </c>
      <c r="AQ794" t="s">
        <v>74</v>
      </c>
      <c r="AR794" t="s">
        <v>11354</v>
      </c>
      <c r="AS794" t="s">
        <v>11355</v>
      </c>
      <c r="AT794" t="s">
        <v>74</v>
      </c>
      <c r="AU794">
        <v>2005</v>
      </c>
      <c r="AV794">
        <v>124</v>
      </c>
      <c r="AW794">
        <v>3</v>
      </c>
      <c r="AX794" t="s">
        <v>74</v>
      </c>
      <c r="AY794" t="s">
        <v>74</v>
      </c>
      <c r="AZ794" t="s">
        <v>74</v>
      </c>
      <c r="BA794" t="s">
        <v>74</v>
      </c>
      <c r="BB794">
        <v>220</v>
      </c>
      <c r="BC794">
        <v>229</v>
      </c>
      <c r="BD794" t="s">
        <v>74</v>
      </c>
      <c r="BE794" t="s">
        <v>11356</v>
      </c>
      <c r="BF794" t="str">
        <f>HYPERLINK("http://dx.doi.org/10.1111/j.1744-7410.2005.00021.x","http://dx.doi.org/10.1111/j.1744-7410.2005.00021.x")</f>
        <v>http://dx.doi.org/10.1111/j.1744-7410.2005.00021.x</v>
      </c>
      <c r="BG794" t="s">
        <v>74</v>
      </c>
      <c r="BH794" t="s">
        <v>74</v>
      </c>
      <c r="BI794">
        <v>10</v>
      </c>
      <c r="BJ794" t="s">
        <v>3533</v>
      </c>
      <c r="BK794" t="s">
        <v>95</v>
      </c>
      <c r="BL794" t="s">
        <v>3533</v>
      </c>
      <c r="BM794" t="s">
        <v>11357</v>
      </c>
      <c r="BN794" t="s">
        <v>74</v>
      </c>
      <c r="BO794" t="s">
        <v>74</v>
      </c>
      <c r="BP794" t="s">
        <v>74</v>
      </c>
      <c r="BQ794" t="s">
        <v>74</v>
      </c>
      <c r="BR794" t="s">
        <v>97</v>
      </c>
      <c r="BS794" t="s">
        <v>11358</v>
      </c>
      <c r="BT794" t="str">
        <f>HYPERLINK("https%3A%2F%2Fwww.webofscience.com%2Fwos%2Fwoscc%2Ffull-record%2FWOS:000231668100004","View Full Record in Web of Science")</f>
        <v>View Full Record in Web of Science</v>
      </c>
    </row>
    <row r="795" spans="1:72" x14ac:dyDescent="0.15">
      <c r="A795" t="s">
        <v>8867</v>
      </c>
      <c r="B795" t="s">
        <v>11359</v>
      </c>
      <c r="C795" t="s">
        <v>74</v>
      </c>
      <c r="D795" t="s">
        <v>74</v>
      </c>
      <c r="E795" t="s">
        <v>8869</v>
      </c>
      <c r="F795" t="s">
        <v>11359</v>
      </c>
      <c r="G795" t="s">
        <v>74</v>
      </c>
      <c r="H795" t="s">
        <v>74</v>
      </c>
      <c r="I795" t="s">
        <v>11360</v>
      </c>
      <c r="J795" t="s">
        <v>11361</v>
      </c>
      <c r="K795" t="s">
        <v>74</v>
      </c>
      <c r="L795" t="s">
        <v>74</v>
      </c>
      <c r="M795" t="s">
        <v>77</v>
      </c>
      <c r="N795" t="s">
        <v>8873</v>
      </c>
      <c r="O795" t="s">
        <v>11362</v>
      </c>
      <c r="P795" t="s">
        <v>11363</v>
      </c>
      <c r="Q795" t="s">
        <v>11364</v>
      </c>
      <c r="R795" t="s">
        <v>74</v>
      </c>
      <c r="S795" t="s">
        <v>74</v>
      </c>
      <c r="T795" t="s">
        <v>74</v>
      </c>
      <c r="U795" t="s">
        <v>11365</v>
      </c>
      <c r="V795" t="s">
        <v>11366</v>
      </c>
      <c r="W795" t="s">
        <v>11367</v>
      </c>
      <c r="X795" t="s">
        <v>11368</v>
      </c>
      <c r="Y795" t="s">
        <v>11369</v>
      </c>
      <c r="Z795" t="s">
        <v>74</v>
      </c>
      <c r="AA795" t="s">
        <v>74</v>
      </c>
      <c r="AB795" t="s">
        <v>74</v>
      </c>
      <c r="AC795" t="s">
        <v>74</v>
      </c>
      <c r="AD795" t="s">
        <v>74</v>
      </c>
      <c r="AE795" t="s">
        <v>74</v>
      </c>
      <c r="AF795" t="s">
        <v>74</v>
      </c>
      <c r="AG795">
        <v>3</v>
      </c>
      <c r="AH795">
        <v>8</v>
      </c>
      <c r="AI795">
        <v>10</v>
      </c>
      <c r="AJ795">
        <v>1</v>
      </c>
      <c r="AK795">
        <v>1</v>
      </c>
      <c r="AL795" t="s">
        <v>8869</v>
      </c>
      <c r="AM795" t="s">
        <v>134</v>
      </c>
      <c r="AN795" t="s">
        <v>8884</v>
      </c>
      <c r="AO795" t="s">
        <v>74</v>
      </c>
      <c r="AP795" t="s">
        <v>74</v>
      </c>
      <c r="AQ795" t="s">
        <v>11370</v>
      </c>
      <c r="AR795" t="s">
        <v>74</v>
      </c>
      <c r="AS795" t="s">
        <v>74</v>
      </c>
      <c r="AT795" t="s">
        <v>74</v>
      </c>
      <c r="AU795">
        <v>2005</v>
      </c>
      <c r="AV795" t="s">
        <v>74</v>
      </c>
      <c r="AW795" t="s">
        <v>74</v>
      </c>
      <c r="AX795" t="s">
        <v>74</v>
      </c>
      <c r="AY795" t="s">
        <v>74</v>
      </c>
      <c r="AZ795" t="s">
        <v>74</v>
      </c>
      <c r="BA795" t="s">
        <v>74</v>
      </c>
      <c r="BB795">
        <v>3</v>
      </c>
      <c r="BC795">
        <v>4</v>
      </c>
      <c r="BD795" t="s">
        <v>74</v>
      </c>
      <c r="BE795" t="s">
        <v>74</v>
      </c>
      <c r="BF795" t="s">
        <v>74</v>
      </c>
      <c r="BG795" t="s">
        <v>74</v>
      </c>
      <c r="BH795" t="s">
        <v>74</v>
      </c>
      <c r="BI795">
        <v>2</v>
      </c>
      <c r="BJ795" t="s">
        <v>11371</v>
      </c>
      <c r="BK795" t="s">
        <v>8890</v>
      </c>
      <c r="BL795" t="s">
        <v>11372</v>
      </c>
      <c r="BM795" t="s">
        <v>11373</v>
      </c>
      <c r="BN795" t="s">
        <v>74</v>
      </c>
      <c r="BO795" t="s">
        <v>74</v>
      </c>
      <c r="BP795" t="s">
        <v>74</v>
      </c>
      <c r="BQ795" t="s">
        <v>74</v>
      </c>
      <c r="BR795" t="s">
        <v>97</v>
      </c>
      <c r="BS795" t="s">
        <v>11374</v>
      </c>
      <c r="BT795" t="str">
        <f>HYPERLINK("https%3A%2F%2Fwww.webofscience.com%2Fwos%2Fwoscc%2Ffull-record%2FWOS:000237170000002","View Full Record in Web of Science")</f>
        <v>View Full Record in Web of Science</v>
      </c>
    </row>
    <row r="796" spans="1:72" x14ac:dyDescent="0.15">
      <c r="A796" t="s">
        <v>8867</v>
      </c>
      <c r="B796" t="s">
        <v>11375</v>
      </c>
      <c r="C796" t="s">
        <v>74</v>
      </c>
      <c r="D796" t="s">
        <v>11376</v>
      </c>
      <c r="E796" t="s">
        <v>74</v>
      </c>
      <c r="F796" t="s">
        <v>11375</v>
      </c>
      <c r="G796" t="s">
        <v>74</v>
      </c>
      <c r="H796" t="s">
        <v>74</v>
      </c>
      <c r="I796" t="s">
        <v>11377</v>
      </c>
      <c r="J796" t="s">
        <v>11378</v>
      </c>
      <c r="K796" t="s">
        <v>74</v>
      </c>
      <c r="L796" t="s">
        <v>74</v>
      </c>
      <c r="M796" t="s">
        <v>77</v>
      </c>
      <c r="N796" t="s">
        <v>8873</v>
      </c>
      <c r="O796" t="s">
        <v>11379</v>
      </c>
      <c r="P796" t="s">
        <v>11380</v>
      </c>
      <c r="Q796" t="s">
        <v>11381</v>
      </c>
      <c r="R796" t="s">
        <v>74</v>
      </c>
      <c r="S796" t="s">
        <v>74</v>
      </c>
      <c r="T796" t="s">
        <v>74</v>
      </c>
      <c r="U796" t="s">
        <v>74</v>
      </c>
      <c r="V796" t="s">
        <v>74</v>
      </c>
      <c r="W796" t="s">
        <v>11382</v>
      </c>
      <c r="X796" t="s">
        <v>74</v>
      </c>
      <c r="Y796" t="s">
        <v>74</v>
      </c>
      <c r="Z796" t="s">
        <v>74</v>
      </c>
      <c r="AA796" t="s">
        <v>11383</v>
      </c>
      <c r="AB796" t="s">
        <v>11384</v>
      </c>
      <c r="AC796" t="s">
        <v>74</v>
      </c>
      <c r="AD796" t="s">
        <v>74</v>
      </c>
      <c r="AE796" t="s">
        <v>74</v>
      </c>
      <c r="AF796" t="s">
        <v>74</v>
      </c>
      <c r="AG796">
        <v>3</v>
      </c>
      <c r="AH796">
        <v>0</v>
      </c>
      <c r="AI796">
        <v>0</v>
      </c>
      <c r="AJ796">
        <v>0</v>
      </c>
      <c r="AK796">
        <v>2</v>
      </c>
      <c r="AL796" t="s">
        <v>11385</v>
      </c>
      <c r="AM796" t="s">
        <v>11386</v>
      </c>
      <c r="AN796" t="s">
        <v>11387</v>
      </c>
      <c r="AO796" t="s">
        <v>74</v>
      </c>
      <c r="AP796" t="s">
        <v>74</v>
      </c>
      <c r="AQ796" t="s">
        <v>11388</v>
      </c>
      <c r="AR796" t="s">
        <v>74</v>
      </c>
      <c r="AS796" t="s">
        <v>74</v>
      </c>
      <c r="AT796" t="s">
        <v>74</v>
      </c>
      <c r="AU796">
        <v>2005</v>
      </c>
      <c r="AV796" t="s">
        <v>74</v>
      </c>
      <c r="AW796" t="s">
        <v>74</v>
      </c>
      <c r="AX796" t="s">
        <v>74</v>
      </c>
      <c r="AY796" t="s">
        <v>74</v>
      </c>
      <c r="AZ796" t="s">
        <v>74</v>
      </c>
      <c r="BA796" t="s">
        <v>74</v>
      </c>
      <c r="BB796">
        <v>684</v>
      </c>
      <c r="BC796">
        <v>685</v>
      </c>
      <c r="BD796" t="s">
        <v>74</v>
      </c>
      <c r="BE796" t="s">
        <v>74</v>
      </c>
      <c r="BF796" t="s">
        <v>74</v>
      </c>
      <c r="BG796" t="s">
        <v>74</v>
      </c>
      <c r="BH796" t="s">
        <v>74</v>
      </c>
      <c r="BI796">
        <v>2</v>
      </c>
      <c r="BJ796" t="s">
        <v>11389</v>
      </c>
      <c r="BK796" t="s">
        <v>11131</v>
      </c>
      <c r="BL796" t="s">
        <v>11390</v>
      </c>
      <c r="BM796" t="s">
        <v>11391</v>
      </c>
      <c r="BN796" t="s">
        <v>74</v>
      </c>
      <c r="BO796" t="s">
        <v>74</v>
      </c>
      <c r="BP796" t="s">
        <v>74</v>
      </c>
      <c r="BQ796" t="s">
        <v>74</v>
      </c>
      <c r="BR796" t="s">
        <v>97</v>
      </c>
      <c r="BS796" t="s">
        <v>11392</v>
      </c>
      <c r="BT796" t="str">
        <f>HYPERLINK("https%3A%2F%2Fwww.webofscience.com%2Fwos%2Fwoscc%2Ffull-record%2FWOS:000232759800099","View Full Record in Web of Science")</f>
        <v>View Full Record in Web of Science</v>
      </c>
    </row>
    <row r="797" spans="1:72" x14ac:dyDescent="0.15">
      <c r="A797" t="s">
        <v>8867</v>
      </c>
      <c r="B797" t="s">
        <v>11393</v>
      </c>
      <c r="C797" t="s">
        <v>74</v>
      </c>
      <c r="D797" t="s">
        <v>11394</v>
      </c>
      <c r="E797" t="s">
        <v>74</v>
      </c>
      <c r="F797" t="s">
        <v>11393</v>
      </c>
      <c r="G797" t="s">
        <v>74</v>
      </c>
      <c r="H797" t="s">
        <v>74</v>
      </c>
      <c r="I797" t="s">
        <v>11395</v>
      </c>
      <c r="J797" t="s">
        <v>11396</v>
      </c>
      <c r="K797" t="s">
        <v>74</v>
      </c>
      <c r="L797" t="s">
        <v>74</v>
      </c>
      <c r="M797" t="s">
        <v>77</v>
      </c>
      <c r="N797" t="s">
        <v>8873</v>
      </c>
      <c r="O797" t="s">
        <v>11397</v>
      </c>
      <c r="P797" t="s">
        <v>11398</v>
      </c>
      <c r="Q797" t="s">
        <v>11399</v>
      </c>
      <c r="R797" t="s">
        <v>74</v>
      </c>
      <c r="S797" t="s">
        <v>74</v>
      </c>
      <c r="T797" t="s">
        <v>11400</v>
      </c>
      <c r="U797" t="s">
        <v>11401</v>
      </c>
      <c r="V797" t="s">
        <v>11402</v>
      </c>
      <c r="W797" t="s">
        <v>11403</v>
      </c>
      <c r="X797" t="s">
        <v>11404</v>
      </c>
      <c r="Y797" t="s">
        <v>11405</v>
      </c>
      <c r="Z797" t="s">
        <v>74</v>
      </c>
      <c r="AA797" t="s">
        <v>74</v>
      </c>
      <c r="AB797" t="s">
        <v>74</v>
      </c>
      <c r="AC797" t="s">
        <v>74</v>
      </c>
      <c r="AD797" t="s">
        <v>74</v>
      </c>
      <c r="AE797" t="s">
        <v>74</v>
      </c>
      <c r="AF797" t="s">
        <v>74</v>
      </c>
      <c r="AG797">
        <v>7</v>
      </c>
      <c r="AH797">
        <v>0</v>
      </c>
      <c r="AI797">
        <v>0</v>
      </c>
      <c r="AJ797">
        <v>0</v>
      </c>
      <c r="AK797">
        <v>0</v>
      </c>
      <c r="AL797" t="s">
        <v>11406</v>
      </c>
      <c r="AM797" t="s">
        <v>11407</v>
      </c>
      <c r="AN797" t="s">
        <v>11408</v>
      </c>
      <c r="AO797" t="s">
        <v>74</v>
      </c>
      <c r="AP797" t="s">
        <v>74</v>
      </c>
      <c r="AQ797" t="s">
        <v>11409</v>
      </c>
      <c r="AR797" t="s">
        <v>74</v>
      </c>
      <c r="AS797" t="s">
        <v>74</v>
      </c>
      <c r="AT797" t="s">
        <v>74</v>
      </c>
      <c r="AU797">
        <v>2005</v>
      </c>
      <c r="AV797" t="s">
        <v>74</v>
      </c>
      <c r="AW797" t="s">
        <v>74</v>
      </c>
      <c r="AX797" t="s">
        <v>74</v>
      </c>
      <c r="AY797" t="s">
        <v>74</v>
      </c>
      <c r="AZ797" t="s">
        <v>74</v>
      </c>
      <c r="BA797" t="s">
        <v>74</v>
      </c>
      <c r="BB797">
        <v>2968</v>
      </c>
      <c r="BC797">
        <v>2971</v>
      </c>
      <c r="BD797" t="s">
        <v>74</v>
      </c>
      <c r="BE797" t="s">
        <v>74</v>
      </c>
      <c r="BF797" t="s">
        <v>74</v>
      </c>
      <c r="BG797" t="s">
        <v>74</v>
      </c>
      <c r="BH797" t="s">
        <v>74</v>
      </c>
      <c r="BI797">
        <v>4</v>
      </c>
      <c r="BJ797" t="s">
        <v>11410</v>
      </c>
      <c r="BK797" t="s">
        <v>8890</v>
      </c>
      <c r="BL797" t="s">
        <v>11410</v>
      </c>
      <c r="BM797" t="s">
        <v>11411</v>
      </c>
      <c r="BN797" t="s">
        <v>74</v>
      </c>
      <c r="BO797" t="s">
        <v>74</v>
      </c>
      <c r="BP797" t="s">
        <v>74</v>
      </c>
      <c r="BQ797" t="s">
        <v>74</v>
      </c>
      <c r="BR797" t="s">
        <v>97</v>
      </c>
      <c r="BS797" t="s">
        <v>11412</v>
      </c>
      <c r="BT797" t="str">
        <f>HYPERLINK("https%3A%2F%2Fwww.webofscience.com%2Fwos%2Fwoscc%2Ffull-record%2FWOS:000232030702240","View Full Record in Web of Science")</f>
        <v>View Full Record in Web of Science</v>
      </c>
    </row>
    <row r="798" spans="1:72" x14ac:dyDescent="0.15">
      <c r="A798" t="s">
        <v>8867</v>
      </c>
      <c r="B798" t="s">
        <v>11413</v>
      </c>
      <c r="C798" t="s">
        <v>74</v>
      </c>
      <c r="D798" t="s">
        <v>11394</v>
      </c>
      <c r="E798" t="s">
        <v>74</v>
      </c>
      <c r="F798" t="s">
        <v>11413</v>
      </c>
      <c r="G798" t="s">
        <v>74</v>
      </c>
      <c r="H798" t="s">
        <v>74</v>
      </c>
      <c r="I798" t="s">
        <v>11414</v>
      </c>
      <c r="J798" t="s">
        <v>11396</v>
      </c>
      <c r="K798" t="s">
        <v>74</v>
      </c>
      <c r="L798" t="s">
        <v>74</v>
      </c>
      <c r="M798" t="s">
        <v>77</v>
      </c>
      <c r="N798" t="s">
        <v>8873</v>
      </c>
      <c r="O798" t="s">
        <v>11397</v>
      </c>
      <c r="P798" t="s">
        <v>11398</v>
      </c>
      <c r="Q798" t="s">
        <v>11399</v>
      </c>
      <c r="R798" t="s">
        <v>74</v>
      </c>
      <c r="S798" t="s">
        <v>74</v>
      </c>
      <c r="T798" t="s">
        <v>11415</v>
      </c>
      <c r="U798" t="s">
        <v>11416</v>
      </c>
      <c r="V798" t="s">
        <v>11417</v>
      </c>
      <c r="W798" t="s">
        <v>11403</v>
      </c>
      <c r="X798" t="s">
        <v>11404</v>
      </c>
      <c r="Y798" t="s">
        <v>11405</v>
      </c>
      <c r="Z798" t="s">
        <v>74</v>
      </c>
      <c r="AA798" t="s">
        <v>74</v>
      </c>
      <c r="AB798" t="s">
        <v>74</v>
      </c>
      <c r="AC798" t="s">
        <v>74</v>
      </c>
      <c r="AD798" t="s">
        <v>74</v>
      </c>
      <c r="AE798" t="s">
        <v>74</v>
      </c>
      <c r="AF798" t="s">
        <v>74</v>
      </c>
      <c r="AG798">
        <v>13</v>
      </c>
      <c r="AH798">
        <v>0</v>
      </c>
      <c r="AI798">
        <v>0</v>
      </c>
      <c r="AJ798">
        <v>0</v>
      </c>
      <c r="AK798">
        <v>1</v>
      </c>
      <c r="AL798" t="s">
        <v>11406</v>
      </c>
      <c r="AM798" t="s">
        <v>11407</v>
      </c>
      <c r="AN798" t="s">
        <v>11408</v>
      </c>
      <c r="AO798" t="s">
        <v>74</v>
      </c>
      <c r="AP798" t="s">
        <v>74</v>
      </c>
      <c r="AQ798" t="s">
        <v>11409</v>
      </c>
      <c r="AR798" t="s">
        <v>74</v>
      </c>
      <c r="AS798" t="s">
        <v>74</v>
      </c>
      <c r="AT798" t="s">
        <v>74</v>
      </c>
      <c r="AU798">
        <v>2005</v>
      </c>
      <c r="AV798" t="s">
        <v>74</v>
      </c>
      <c r="AW798" t="s">
        <v>74</v>
      </c>
      <c r="AX798" t="s">
        <v>74</v>
      </c>
      <c r="AY798" t="s">
        <v>74</v>
      </c>
      <c r="AZ798" t="s">
        <v>74</v>
      </c>
      <c r="BA798" t="s">
        <v>74</v>
      </c>
      <c r="BB798">
        <v>2972</v>
      </c>
      <c r="BC798">
        <v>2975</v>
      </c>
      <c r="BD798" t="s">
        <v>74</v>
      </c>
      <c r="BE798" t="s">
        <v>74</v>
      </c>
      <c r="BF798" t="s">
        <v>74</v>
      </c>
      <c r="BG798" t="s">
        <v>74</v>
      </c>
      <c r="BH798" t="s">
        <v>74</v>
      </c>
      <c r="BI798">
        <v>4</v>
      </c>
      <c r="BJ798" t="s">
        <v>11410</v>
      </c>
      <c r="BK798" t="s">
        <v>8890</v>
      </c>
      <c r="BL798" t="s">
        <v>11410</v>
      </c>
      <c r="BM798" t="s">
        <v>11411</v>
      </c>
      <c r="BN798" t="s">
        <v>74</v>
      </c>
      <c r="BO798" t="s">
        <v>74</v>
      </c>
      <c r="BP798" t="s">
        <v>74</v>
      </c>
      <c r="BQ798" t="s">
        <v>74</v>
      </c>
      <c r="BR798" t="s">
        <v>97</v>
      </c>
      <c r="BS798" t="s">
        <v>11418</v>
      </c>
      <c r="BT798" t="str">
        <f>HYPERLINK("https%3A%2F%2Fwww.webofscience.com%2Fwos%2Fwoscc%2Ffull-record%2FWOS:000232030702241","View Full Record in Web of Science")</f>
        <v>View Full Record in Web of Science</v>
      </c>
    </row>
    <row r="799" spans="1:72" x14ac:dyDescent="0.15">
      <c r="A799" t="s">
        <v>72</v>
      </c>
      <c r="B799" t="s">
        <v>11419</v>
      </c>
      <c r="C799" t="s">
        <v>74</v>
      </c>
      <c r="D799" t="s">
        <v>74</v>
      </c>
      <c r="E799" t="s">
        <v>74</v>
      </c>
      <c r="F799" t="s">
        <v>11419</v>
      </c>
      <c r="G799" t="s">
        <v>74</v>
      </c>
      <c r="H799" t="s">
        <v>74</v>
      </c>
      <c r="I799" t="s">
        <v>11420</v>
      </c>
      <c r="J799" t="s">
        <v>11421</v>
      </c>
      <c r="K799" t="s">
        <v>74</v>
      </c>
      <c r="L799" t="s">
        <v>74</v>
      </c>
      <c r="M799" t="s">
        <v>77</v>
      </c>
      <c r="N799" t="s">
        <v>78</v>
      </c>
      <c r="O799" t="s">
        <v>74</v>
      </c>
      <c r="P799" t="s">
        <v>74</v>
      </c>
      <c r="Q799" t="s">
        <v>74</v>
      </c>
      <c r="R799" t="s">
        <v>74</v>
      </c>
      <c r="S799" t="s">
        <v>74</v>
      </c>
      <c r="T799" t="s">
        <v>11422</v>
      </c>
      <c r="U799" t="s">
        <v>11423</v>
      </c>
      <c r="V799" t="s">
        <v>11424</v>
      </c>
      <c r="W799" t="s">
        <v>4109</v>
      </c>
      <c r="X799" t="s">
        <v>671</v>
      </c>
      <c r="Y799" t="s">
        <v>11425</v>
      </c>
      <c r="Z799" t="s">
        <v>11426</v>
      </c>
      <c r="AA799" t="s">
        <v>74</v>
      </c>
      <c r="AB799" t="s">
        <v>74</v>
      </c>
      <c r="AC799" t="s">
        <v>74</v>
      </c>
      <c r="AD799" t="s">
        <v>74</v>
      </c>
      <c r="AE799" t="s">
        <v>74</v>
      </c>
      <c r="AF799" t="s">
        <v>74</v>
      </c>
      <c r="AG799">
        <v>10</v>
      </c>
      <c r="AH799">
        <v>0</v>
      </c>
      <c r="AI799">
        <v>0</v>
      </c>
      <c r="AJ799">
        <v>0</v>
      </c>
      <c r="AK799">
        <v>0</v>
      </c>
      <c r="AL799" t="s">
        <v>11427</v>
      </c>
      <c r="AM799" t="s">
        <v>739</v>
      </c>
      <c r="AN799" t="s">
        <v>11428</v>
      </c>
      <c r="AO799" t="s">
        <v>11429</v>
      </c>
      <c r="AP799" t="s">
        <v>74</v>
      </c>
      <c r="AQ799" t="s">
        <v>74</v>
      </c>
      <c r="AR799" t="s">
        <v>11430</v>
      </c>
      <c r="AS799" t="s">
        <v>11431</v>
      </c>
      <c r="AT799" t="s">
        <v>10124</v>
      </c>
      <c r="AU799">
        <v>2005</v>
      </c>
      <c r="AV799">
        <v>58</v>
      </c>
      <c r="AW799" t="s">
        <v>442</v>
      </c>
      <c r="AX799" t="s">
        <v>74</v>
      </c>
      <c r="AY799" t="s">
        <v>74</v>
      </c>
      <c r="AZ799" t="s">
        <v>74</v>
      </c>
      <c r="BA799" t="s">
        <v>74</v>
      </c>
      <c r="BB799">
        <v>28</v>
      </c>
      <c r="BC799">
        <v>33</v>
      </c>
      <c r="BD799" t="s">
        <v>74</v>
      </c>
      <c r="BE799" t="s">
        <v>74</v>
      </c>
      <c r="BF799" t="s">
        <v>74</v>
      </c>
      <c r="BG799" t="s">
        <v>74</v>
      </c>
      <c r="BH799" t="s">
        <v>74</v>
      </c>
      <c r="BI799">
        <v>6</v>
      </c>
      <c r="BJ799" t="s">
        <v>11432</v>
      </c>
      <c r="BK799" t="s">
        <v>95</v>
      </c>
      <c r="BL799" t="s">
        <v>11433</v>
      </c>
      <c r="BM799" t="s">
        <v>11434</v>
      </c>
      <c r="BN799" t="s">
        <v>74</v>
      </c>
      <c r="BO799" t="s">
        <v>74</v>
      </c>
      <c r="BP799" t="s">
        <v>74</v>
      </c>
      <c r="BQ799" t="s">
        <v>74</v>
      </c>
      <c r="BR799" t="s">
        <v>97</v>
      </c>
      <c r="BS799" t="s">
        <v>11435</v>
      </c>
      <c r="BT799" t="str">
        <f>HYPERLINK("https%3A%2F%2Fwww.webofscience.com%2Fwos%2Fwoscc%2Ffull-record%2FWOS:000226143500004","View Full Record in Web of Science")</f>
        <v>View Full Record in Web of Science</v>
      </c>
    </row>
    <row r="800" spans="1:72" x14ac:dyDescent="0.15">
      <c r="A800" t="s">
        <v>72</v>
      </c>
      <c r="B800" t="s">
        <v>11436</v>
      </c>
      <c r="C800" t="s">
        <v>74</v>
      </c>
      <c r="D800" t="s">
        <v>74</v>
      </c>
      <c r="E800" t="s">
        <v>74</v>
      </c>
      <c r="F800" t="s">
        <v>11437</v>
      </c>
      <c r="G800" t="s">
        <v>74</v>
      </c>
      <c r="H800" t="s">
        <v>74</v>
      </c>
      <c r="I800" t="s">
        <v>11438</v>
      </c>
      <c r="J800" t="s">
        <v>11439</v>
      </c>
      <c r="K800" t="s">
        <v>74</v>
      </c>
      <c r="L800" t="s">
        <v>74</v>
      </c>
      <c r="M800" t="s">
        <v>77</v>
      </c>
      <c r="N800" t="s">
        <v>78</v>
      </c>
      <c r="O800" t="s">
        <v>74</v>
      </c>
      <c r="P800" t="s">
        <v>74</v>
      </c>
      <c r="Q800" t="s">
        <v>74</v>
      </c>
      <c r="R800" t="s">
        <v>74</v>
      </c>
      <c r="S800" t="s">
        <v>74</v>
      </c>
      <c r="T800" t="s">
        <v>74</v>
      </c>
      <c r="U800" t="s">
        <v>11440</v>
      </c>
      <c r="V800" t="s">
        <v>11441</v>
      </c>
      <c r="W800" t="s">
        <v>11442</v>
      </c>
      <c r="X800" t="s">
        <v>11443</v>
      </c>
      <c r="Y800" t="s">
        <v>11444</v>
      </c>
      <c r="Z800" t="s">
        <v>11445</v>
      </c>
      <c r="AA800" t="s">
        <v>74</v>
      </c>
      <c r="AB800" t="s">
        <v>74</v>
      </c>
      <c r="AC800" t="s">
        <v>74</v>
      </c>
      <c r="AD800" t="s">
        <v>74</v>
      </c>
      <c r="AE800" t="s">
        <v>74</v>
      </c>
      <c r="AF800" t="s">
        <v>74</v>
      </c>
      <c r="AG800">
        <v>18</v>
      </c>
      <c r="AH800">
        <v>14</v>
      </c>
      <c r="AI800">
        <v>15</v>
      </c>
      <c r="AJ800">
        <v>0</v>
      </c>
      <c r="AK800">
        <v>1</v>
      </c>
      <c r="AL800" t="s">
        <v>11446</v>
      </c>
      <c r="AM800" t="s">
        <v>11447</v>
      </c>
      <c r="AN800" t="s">
        <v>11448</v>
      </c>
      <c r="AO800" t="s">
        <v>11449</v>
      </c>
      <c r="AP800" t="s">
        <v>11450</v>
      </c>
      <c r="AQ800" t="s">
        <v>74</v>
      </c>
      <c r="AR800" t="s">
        <v>11451</v>
      </c>
      <c r="AS800" t="s">
        <v>11452</v>
      </c>
      <c r="AT800" t="s">
        <v>74</v>
      </c>
      <c r="AU800">
        <v>2005</v>
      </c>
      <c r="AV800">
        <v>26</v>
      </c>
      <c r="AW800">
        <v>2</v>
      </c>
      <c r="AX800" t="s">
        <v>74</v>
      </c>
      <c r="AY800" t="s">
        <v>74</v>
      </c>
      <c r="AZ800" t="s">
        <v>74</v>
      </c>
      <c r="BA800" t="s">
        <v>74</v>
      </c>
      <c r="BB800">
        <v>114</v>
      </c>
      <c r="BC800">
        <v>122</v>
      </c>
      <c r="BD800" t="s">
        <v>74</v>
      </c>
      <c r="BE800" t="s">
        <v>74</v>
      </c>
      <c r="BF800" t="s">
        <v>74</v>
      </c>
      <c r="BG800" t="s">
        <v>74</v>
      </c>
      <c r="BH800" t="s">
        <v>74</v>
      </c>
      <c r="BI800">
        <v>9</v>
      </c>
      <c r="BJ800" t="s">
        <v>10686</v>
      </c>
      <c r="BK800" t="s">
        <v>95</v>
      </c>
      <c r="BL800" t="s">
        <v>551</v>
      </c>
      <c r="BM800" t="s">
        <v>11453</v>
      </c>
      <c r="BN800" t="s">
        <v>74</v>
      </c>
      <c r="BO800" t="s">
        <v>74</v>
      </c>
      <c r="BP800" t="s">
        <v>74</v>
      </c>
      <c r="BQ800" t="s">
        <v>74</v>
      </c>
      <c r="BR800" t="s">
        <v>97</v>
      </c>
      <c r="BS800" t="s">
        <v>11454</v>
      </c>
      <c r="BT800" t="str">
        <f>HYPERLINK("https%3A%2F%2Fwww.webofscience.com%2Fwos%2Fwoscc%2Ffull-record%2FWOS:000237797800003","View Full Record in Web of Science")</f>
        <v>View Full Record in Web of Science</v>
      </c>
    </row>
    <row r="801" spans="1:72" x14ac:dyDescent="0.15">
      <c r="A801" t="s">
        <v>72</v>
      </c>
      <c r="B801" t="s">
        <v>11455</v>
      </c>
      <c r="C801" t="s">
        <v>74</v>
      </c>
      <c r="D801" t="s">
        <v>74</v>
      </c>
      <c r="E801" t="s">
        <v>74</v>
      </c>
      <c r="F801" t="s">
        <v>11455</v>
      </c>
      <c r="G801" t="s">
        <v>74</v>
      </c>
      <c r="H801" t="s">
        <v>74</v>
      </c>
      <c r="I801" t="s">
        <v>11456</v>
      </c>
      <c r="J801" t="s">
        <v>11457</v>
      </c>
      <c r="K801" t="s">
        <v>74</v>
      </c>
      <c r="L801" t="s">
        <v>74</v>
      </c>
      <c r="M801" t="s">
        <v>77</v>
      </c>
      <c r="N801" t="s">
        <v>78</v>
      </c>
      <c r="O801" t="s">
        <v>74</v>
      </c>
      <c r="P801" t="s">
        <v>74</v>
      </c>
      <c r="Q801" t="s">
        <v>74</v>
      </c>
      <c r="R801" t="s">
        <v>74</v>
      </c>
      <c r="S801" t="s">
        <v>74</v>
      </c>
      <c r="T801" t="s">
        <v>11458</v>
      </c>
      <c r="U801" t="s">
        <v>11459</v>
      </c>
      <c r="V801" t="s">
        <v>11460</v>
      </c>
      <c r="W801" t="s">
        <v>11461</v>
      </c>
      <c r="X801" t="s">
        <v>11462</v>
      </c>
      <c r="Y801" t="s">
        <v>230</v>
      </c>
      <c r="Z801" t="s">
        <v>2205</v>
      </c>
      <c r="AA801" t="s">
        <v>2313</v>
      </c>
      <c r="AB801" t="s">
        <v>74</v>
      </c>
      <c r="AC801" t="s">
        <v>74</v>
      </c>
      <c r="AD801" t="s">
        <v>74</v>
      </c>
      <c r="AE801" t="s">
        <v>74</v>
      </c>
      <c r="AF801" t="s">
        <v>74</v>
      </c>
      <c r="AG801">
        <v>34</v>
      </c>
      <c r="AH801">
        <v>85</v>
      </c>
      <c r="AI801">
        <v>98</v>
      </c>
      <c r="AJ801">
        <v>3</v>
      </c>
      <c r="AK801">
        <v>45</v>
      </c>
      <c r="AL801" t="s">
        <v>472</v>
      </c>
      <c r="AM801" t="s">
        <v>473</v>
      </c>
      <c r="AN801" t="s">
        <v>474</v>
      </c>
      <c r="AO801" t="s">
        <v>11463</v>
      </c>
      <c r="AP801" t="s">
        <v>11464</v>
      </c>
      <c r="AQ801" t="s">
        <v>74</v>
      </c>
      <c r="AR801" t="s">
        <v>11465</v>
      </c>
      <c r="AS801" t="s">
        <v>11466</v>
      </c>
      <c r="AT801" t="s">
        <v>74</v>
      </c>
      <c r="AU801">
        <v>2005</v>
      </c>
      <c r="AV801">
        <v>99</v>
      </c>
      <c r="AW801">
        <v>4</v>
      </c>
      <c r="AX801" t="s">
        <v>74</v>
      </c>
      <c r="AY801" t="s">
        <v>74</v>
      </c>
      <c r="AZ801" t="s">
        <v>74</v>
      </c>
      <c r="BA801" t="s">
        <v>74</v>
      </c>
      <c r="BB801">
        <v>794</v>
      </c>
      <c r="BC801">
        <v>802</v>
      </c>
      <c r="BD801" t="s">
        <v>74</v>
      </c>
      <c r="BE801" t="s">
        <v>11467</v>
      </c>
      <c r="BF801" t="str">
        <f>HYPERLINK("http://dx.doi.org/10.1111/j.1365-2672.2005.02678.x","http://dx.doi.org/10.1111/j.1365-2672.2005.02678.x")</f>
        <v>http://dx.doi.org/10.1111/j.1365-2672.2005.02678.x</v>
      </c>
      <c r="BG801" t="s">
        <v>74</v>
      </c>
      <c r="BH801" t="s">
        <v>74</v>
      </c>
      <c r="BI801">
        <v>9</v>
      </c>
      <c r="BJ801" t="s">
        <v>2282</v>
      </c>
      <c r="BK801" t="s">
        <v>95</v>
      </c>
      <c r="BL801" t="s">
        <v>2282</v>
      </c>
      <c r="BM801" t="s">
        <v>11468</v>
      </c>
      <c r="BN801">
        <v>16162230</v>
      </c>
      <c r="BO801" t="s">
        <v>74</v>
      </c>
      <c r="BP801" t="s">
        <v>74</v>
      </c>
      <c r="BQ801" t="s">
        <v>74</v>
      </c>
      <c r="BR801" t="s">
        <v>97</v>
      </c>
      <c r="BS801" t="s">
        <v>11469</v>
      </c>
      <c r="BT801" t="str">
        <f>HYPERLINK("https%3A%2F%2Fwww.webofscience.com%2Fwos%2Fwoscc%2Ffull-record%2FWOS:000231863200010","View Full Record in Web of Science")</f>
        <v>View Full Record in Web of Science</v>
      </c>
    </row>
    <row r="802" spans="1:72" x14ac:dyDescent="0.15">
      <c r="A802" t="s">
        <v>72</v>
      </c>
      <c r="B802" t="s">
        <v>11470</v>
      </c>
      <c r="C802" t="s">
        <v>74</v>
      </c>
      <c r="D802" t="s">
        <v>74</v>
      </c>
      <c r="E802" t="s">
        <v>74</v>
      </c>
      <c r="F802" t="s">
        <v>11470</v>
      </c>
      <c r="G802" t="s">
        <v>74</v>
      </c>
      <c r="H802" t="s">
        <v>74</v>
      </c>
      <c r="I802" t="s">
        <v>11471</v>
      </c>
      <c r="J802" t="s">
        <v>8233</v>
      </c>
      <c r="K802" t="s">
        <v>74</v>
      </c>
      <c r="L802" t="s">
        <v>74</v>
      </c>
      <c r="M802" t="s">
        <v>77</v>
      </c>
      <c r="N802" t="s">
        <v>495</v>
      </c>
      <c r="O802" t="s">
        <v>11472</v>
      </c>
      <c r="P802" t="s">
        <v>11473</v>
      </c>
      <c r="Q802" t="s">
        <v>11474</v>
      </c>
      <c r="R802" t="s">
        <v>74</v>
      </c>
      <c r="S802" t="s">
        <v>74</v>
      </c>
      <c r="T802" t="s">
        <v>11475</v>
      </c>
      <c r="U802" t="s">
        <v>11476</v>
      </c>
      <c r="V802" t="s">
        <v>11477</v>
      </c>
      <c r="W802" t="s">
        <v>11478</v>
      </c>
      <c r="X802" t="s">
        <v>5999</v>
      </c>
      <c r="Y802" t="s">
        <v>11479</v>
      </c>
      <c r="Z802" t="s">
        <v>11480</v>
      </c>
      <c r="AA802" t="s">
        <v>74</v>
      </c>
      <c r="AB802" t="s">
        <v>74</v>
      </c>
      <c r="AC802" t="s">
        <v>74</v>
      </c>
      <c r="AD802" t="s">
        <v>74</v>
      </c>
      <c r="AE802" t="s">
        <v>74</v>
      </c>
      <c r="AF802" t="s">
        <v>74</v>
      </c>
      <c r="AG802">
        <v>21</v>
      </c>
      <c r="AH802">
        <v>12</v>
      </c>
      <c r="AI802">
        <v>14</v>
      </c>
      <c r="AJ802">
        <v>0</v>
      </c>
      <c r="AK802">
        <v>2</v>
      </c>
      <c r="AL802" t="s">
        <v>255</v>
      </c>
      <c r="AM802" t="s">
        <v>256</v>
      </c>
      <c r="AN802" t="s">
        <v>257</v>
      </c>
      <c r="AO802" t="s">
        <v>8243</v>
      </c>
      <c r="AP802" t="s">
        <v>8244</v>
      </c>
      <c r="AQ802" t="s">
        <v>74</v>
      </c>
      <c r="AR802" t="s">
        <v>8245</v>
      </c>
      <c r="AS802" t="s">
        <v>8246</v>
      </c>
      <c r="AT802" t="s">
        <v>9676</v>
      </c>
      <c r="AU802">
        <v>2005</v>
      </c>
      <c r="AV802">
        <v>67</v>
      </c>
      <c r="AW802" t="s">
        <v>442</v>
      </c>
      <c r="AX802" t="s">
        <v>74</v>
      </c>
      <c r="AY802" t="s">
        <v>74</v>
      </c>
      <c r="AZ802" t="s">
        <v>74</v>
      </c>
      <c r="BA802" t="s">
        <v>74</v>
      </c>
      <c r="BB802">
        <v>33</v>
      </c>
      <c r="BC802">
        <v>44</v>
      </c>
      <c r="BD802" t="s">
        <v>74</v>
      </c>
      <c r="BE802" t="s">
        <v>11481</v>
      </c>
      <c r="BF802" t="str">
        <f>HYPERLINK("http://dx.doi.org/10.1016/j.jastp.2004.07.015","http://dx.doi.org/10.1016/j.jastp.2004.07.015")</f>
        <v>http://dx.doi.org/10.1016/j.jastp.2004.07.015</v>
      </c>
      <c r="BG802" t="s">
        <v>74</v>
      </c>
      <c r="BH802" t="s">
        <v>74</v>
      </c>
      <c r="BI802">
        <v>12</v>
      </c>
      <c r="BJ802" t="s">
        <v>8248</v>
      </c>
      <c r="BK802" t="s">
        <v>514</v>
      </c>
      <c r="BL802" t="s">
        <v>8248</v>
      </c>
      <c r="BM802" t="s">
        <v>11482</v>
      </c>
      <c r="BN802" t="s">
        <v>74</v>
      </c>
      <c r="BO802" t="s">
        <v>74</v>
      </c>
      <c r="BP802" t="s">
        <v>74</v>
      </c>
      <c r="BQ802" t="s">
        <v>74</v>
      </c>
      <c r="BR802" t="s">
        <v>97</v>
      </c>
      <c r="BS802" t="s">
        <v>11483</v>
      </c>
      <c r="BT802" t="str">
        <f>HYPERLINK("https%3A%2F%2Fwww.webofscience.com%2Fwos%2Fwoscc%2Ffull-record%2FWOS:000226341400004","View Full Record in Web of Science")</f>
        <v>View Full Record in Web of Science</v>
      </c>
    </row>
    <row r="803" spans="1:72" x14ac:dyDescent="0.15">
      <c r="A803" t="s">
        <v>72</v>
      </c>
      <c r="B803" t="s">
        <v>11484</v>
      </c>
      <c r="C803" t="s">
        <v>74</v>
      </c>
      <c r="D803" t="s">
        <v>74</v>
      </c>
      <c r="E803" t="s">
        <v>74</v>
      </c>
      <c r="F803" t="s">
        <v>11484</v>
      </c>
      <c r="G803" t="s">
        <v>74</v>
      </c>
      <c r="H803" t="s">
        <v>74</v>
      </c>
      <c r="I803" t="s">
        <v>11485</v>
      </c>
      <c r="J803" t="s">
        <v>8233</v>
      </c>
      <c r="K803" t="s">
        <v>74</v>
      </c>
      <c r="L803" t="s">
        <v>74</v>
      </c>
      <c r="M803" t="s">
        <v>77</v>
      </c>
      <c r="N803" t="s">
        <v>495</v>
      </c>
      <c r="O803" t="s">
        <v>11472</v>
      </c>
      <c r="P803" t="s">
        <v>11473</v>
      </c>
      <c r="Q803" t="s">
        <v>11474</v>
      </c>
      <c r="R803" t="s">
        <v>74</v>
      </c>
      <c r="S803" t="s">
        <v>74</v>
      </c>
      <c r="T803" t="s">
        <v>11486</v>
      </c>
      <c r="U803" t="s">
        <v>11487</v>
      </c>
      <c r="V803" t="s">
        <v>11488</v>
      </c>
      <c r="W803" t="s">
        <v>5998</v>
      </c>
      <c r="X803" t="s">
        <v>5999</v>
      </c>
      <c r="Y803" t="s">
        <v>11489</v>
      </c>
      <c r="Z803" t="s">
        <v>11480</v>
      </c>
      <c r="AA803" t="s">
        <v>74</v>
      </c>
      <c r="AB803" t="s">
        <v>74</v>
      </c>
      <c r="AC803" t="s">
        <v>74</v>
      </c>
      <c r="AD803" t="s">
        <v>74</v>
      </c>
      <c r="AE803" t="s">
        <v>74</v>
      </c>
      <c r="AF803" t="s">
        <v>74</v>
      </c>
      <c r="AG803">
        <v>23</v>
      </c>
      <c r="AH803">
        <v>2</v>
      </c>
      <c r="AI803">
        <v>3</v>
      </c>
      <c r="AJ803">
        <v>4</v>
      </c>
      <c r="AK803">
        <v>8</v>
      </c>
      <c r="AL803" t="s">
        <v>255</v>
      </c>
      <c r="AM803" t="s">
        <v>256</v>
      </c>
      <c r="AN803" t="s">
        <v>257</v>
      </c>
      <c r="AO803" t="s">
        <v>8243</v>
      </c>
      <c r="AP803" t="s">
        <v>8244</v>
      </c>
      <c r="AQ803" t="s">
        <v>74</v>
      </c>
      <c r="AR803" t="s">
        <v>8245</v>
      </c>
      <c r="AS803" t="s">
        <v>8246</v>
      </c>
      <c r="AT803" t="s">
        <v>9676</v>
      </c>
      <c r="AU803">
        <v>2005</v>
      </c>
      <c r="AV803">
        <v>67</v>
      </c>
      <c r="AW803" t="s">
        <v>442</v>
      </c>
      <c r="AX803" t="s">
        <v>74</v>
      </c>
      <c r="AY803" t="s">
        <v>74</v>
      </c>
      <c r="AZ803" t="s">
        <v>74</v>
      </c>
      <c r="BA803" t="s">
        <v>74</v>
      </c>
      <c r="BB803">
        <v>93</v>
      </c>
      <c r="BC803">
        <v>104</v>
      </c>
      <c r="BD803" t="s">
        <v>74</v>
      </c>
      <c r="BE803" t="s">
        <v>11490</v>
      </c>
      <c r="BF803" t="str">
        <f>HYPERLINK("http://dx.doi.org/10.1016/j.jastp.2004.07.020","http://dx.doi.org/10.1016/j.jastp.2004.07.020")</f>
        <v>http://dx.doi.org/10.1016/j.jastp.2004.07.020</v>
      </c>
      <c r="BG803" t="s">
        <v>74</v>
      </c>
      <c r="BH803" t="s">
        <v>74</v>
      </c>
      <c r="BI803">
        <v>12</v>
      </c>
      <c r="BJ803" t="s">
        <v>8248</v>
      </c>
      <c r="BK803" t="s">
        <v>514</v>
      </c>
      <c r="BL803" t="s">
        <v>8248</v>
      </c>
      <c r="BM803" t="s">
        <v>11482</v>
      </c>
      <c r="BN803" t="s">
        <v>74</v>
      </c>
      <c r="BO803" t="s">
        <v>74</v>
      </c>
      <c r="BP803" t="s">
        <v>74</v>
      </c>
      <c r="BQ803" t="s">
        <v>74</v>
      </c>
      <c r="BR803" t="s">
        <v>97</v>
      </c>
      <c r="BS803" t="s">
        <v>11491</v>
      </c>
      <c r="BT803" t="str">
        <f>HYPERLINK("https%3A%2F%2Fwww.webofscience.com%2Fwos%2Fwoscc%2Ffull-record%2FWOS:000226341400009","View Full Record in Web of Science")</f>
        <v>View Full Record in Web of Science</v>
      </c>
    </row>
    <row r="804" spans="1:72" x14ac:dyDescent="0.15">
      <c r="A804" t="s">
        <v>72</v>
      </c>
      <c r="B804" t="s">
        <v>11492</v>
      </c>
      <c r="C804" t="s">
        <v>74</v>
      </c>
      <c r="D804" t="s">
        <v>74</v>
      </c>
      <c r="E804" t="s">
        <v>74</v>
      </c>
      <c r="F804" t="s">
        <v>11492</v>
      </c>
      <c r="G804" t="s">
        <v>74</v>
      </c>
      <c r="H804" t="s">
        <v>74</v>
      </c>
      <c r="I804" t="s">
        <v>11493</v>
      </c>
      <c r="J804" t="s">
        <v>8233</v>
      </c>
      <c r="K804" t="s">
        <v>74</v>
      </c>
      <c r="L804" t="s">
        <v>74</v>
      </c>
      <c r="M804" t="s">
        <v>77</v>
      </c>
      <c r="N804" t="s">
        <v>495</v>
      </c>
      <c r="O804" t="s">
        <v>11472</v>
      </c>
      <c r="P804" t="s">
        <v>11473</v>
      </c>
      <c r="Q804" t="s">
        <v>11474</v>
      </c>
      <c r="R804" t="s">
        <v>74</v>
      </c>
      <c r="S804" t="s">
        <v>74</v>
      </c>
      <c r="T804" t="s">
        <v>11494</v>
      </c>
      <c r="U804" t="s">
        <v>11495</v>
      </c>
      <c r="V804" t="s">
        <v>11496</v>
      </c>
      <c r="W804" t="s">
        <v>11497</v>
      </c>
      <c r="X804" t="s">
        <v>11498</v>
      </c>
      <c r="Y804" t="s">
        <v>11499</v>
      </c>
      <c r="Z804" t="s">
        <v>11500</v>
      </c>
      <c r="AA804" t="s">
        <v>11501</v>
      </c>
      <c r="AB804" t="s">
        <v>11502</v>
      </c>
      <c r="AC804" t="s">
        <v>74</v>
      </c>
      <c r="AD804" t="s">
        <v>74</v>
      </c>
      <c r="AE804" t="s">
        <v>74</v>
      </c>
      <c r="AF804" t="s">
        <v>74</v>
      </c>
      <c r="AG804">
        <v>25</v>
      </c>
      <c r="AH804">
        <v>9</v>
      </c>
      <c r="AI804">
        <v>9</v>
      </c>
      <c r="AJ804">
        <v>0</v>
      </c>
      <c r="AK804">
        <v>1</v>
      </c>
      <c r="AL804" t="s">
        <v>255</v>
      </c>
      <c r="AM804" t="s">
        <v>256</v>
      </c>
      <c r="AN804" t="s">
        <v>257</v>
      </c>
      <c r="AO804" t="s">
        <v>8243</v>
      </c>
      <c r="AP804" t="s">
        <v>8244</v>
      </c>
      <c r="AQ804" t="s">
        <v>74</v>
      </c>
      <c r="AR804" t="s">
        <v>8245</v>
      </c>
      <c r="AS804" t="s">
        <v>8246</v>
      </c>
      <c r="AT804" t="s">
        <v>9676</v>
      </c>
      <c r="AU804">
        <v>2005</v>
      </c>
      <c r="AV804">
        <v>67</v>
      </c>
      <c r="AW804" t="s">
        <v>442</v>
      </c>
      <c r="AX804" t="s">
        <v>74</v>
      </c>
      <c r="AY804" t="s">
        <v>74</v>
      </c>
      <c r="AZ804" t="s">
        <v>74</v>
      </c>
      <c r="BA804" t="s">
        <v>74</v>
      </c>
      <c r="BB804">
        <v>155</v>
      </c>
      <c r="BC804">
        <v>162</v>
      </c>
      <c r="BD804" t="s">
        <v>74</v>
      </c>
      <c r="BE804" t="s">
        <v>11503</v>
      </c>
      <c r="BF804" t="str">
        <f>HYPERLINK("http://dx.doi.org/10.1016/j.jastp.2004.07.024","http://dx.doi.org/10.1016/j.jastp.2004.07.024")</f>
        <v>http://dx.doi.org/10.1016/j.jastp.2004.07.024</v>
      </c>
      <c r="BG804" t="s">
        <v>74</v>
      </c>
      <c r="BH804" t="s">
        <v>74</v>
      </c>
      <c r="BI804">
        <v>8</v>
      </c>
      <c r="BJ804" t="s">
        <v>8248</v>
      </c>
      <c r="BK804" t="s">
        <v>514</v>
      </c>
      <c r="BL804" t="s">
        <v>8248</v>
      </c>
      <c r="BM804" t="s">
        <v>11482</v>
      </c>
      <c r="BN804" t="s">
        <v>74</v>
      </c>
      <c r="BO804" t="s">
        <v>74</v>
      </c>
      <c r="BP804" t="s">
        <v>74</v>
      </c>
      <c r="BQ804" t="s">
        <v>74</v>
      </c>
      <c r="BR804" t="s">
        <v>97</v>
      </c>
      <c r="BS804" t="s">
        <v>11504</v>
      </c>
      <c r="BT804" t="str">
        <f>HYPERLINK("https%3A%2F%2Fwww.webofscience.com%2Fwos%2Fwoscc%2Ffull-record%2FWOS:000226341400014","View Full Record in Web of Science")</f>
        <v>View Full Record in Web of Science</v>
      </c>
    </row>
    <row r="805" spans="1:72" x14ac:dyDescent="0.15">
      <c r="A805" t="s">
        <v>72</v>
      </c>
      <c r="B805" t="s">
        <v>11505</v>
      </c>
      <c r="C805" t="s">
        <v>74</v>
      </c>
      <c r="D805" t="s">
        <v>74</v>
      </c>
      <c r="E805" t="s">
        <v>74</v>
      </c>
      <c r="F805" t="s">
        <v>11505</v>
      </c>
      <c r="G805" t="s">
        <v>74</v>
      </c>
      <c r="H805" t="s">
        <v>74</v>
      </c>
      <c r="I805" t="s">
        <v>11506</v>
      </c>
      <c r="J805" t="s">
        <v>3501</v>
      </c>
      <c r="K805" t="s">
        <v>74</v>
      </c>
      <c r="L805" t="s">
        <v>74</v>
      </c>
      <c r="M805" t="s">
        <v>77</v>
      </c>
      <c r="N805" t="s">
        <v>365</v>
      </c>
      <c r="O805" t="s">
        <v>74</v>
      </c>
      <c r="P805" t="s">
        <v>74</v>
      </c>
      <c r="Q805" t="s">
        <v>74</v>
      </c>
      <c r="R805" t="s">
        <v>74</v>
      </c>
      <c r="S805" t="s">
        <v>74</v>
      </c>
      <c r="T805" t="s">
        <v>11507</v>
      </c>
      <c r="U805" t="s">
        <v>11508</v>
      </c>
      <c r="V805" t="s">
        <v>11509</v>
      </c>
      <c r="W805" t="s">
        <v>11510</v>
      </c>
      <c r="X805" t="s">
        <v>2089</v>
      </c>
      <c r="Y805" t="s">
        <v>11511</v>
      </c>
      <c r="Z805" t="s">
        <v>11512</v>
      </c>
      <c r="AA805" t="s">
        <v>74</v>
      </c>
      <c r="AB805" t="s">
        <v>74</v>
      </c>
      <c r="AC805" t="s">
        <v>74</v>
      </c>
      <c r="AD805" t="s">
        <v>74</v>
      </c>
      <c r="AE805" t="s">
        <v>74</v>
      </c>
      <c r="AF805" t="s">
        <v>74</v>
      </c>
      <c r="AG805">
        <v>102</v>
      </c>
      <c r="AH805">
        <v>37</v>
      </c>
      <c r="AI805">
        <v>44</v>
      </c>
      <c r="AJ805">
        <v>0</v>
      </c>
      <c r="AK805">
        <v>21</v>
      </c>
      <c r="AL805" t="s">
        <v>472</v>
      </c>
      <c r="AM805" t="s">
        <v>473</v>
      </c>
      <c r="AN805" t="s">
        <v>474</v>
      </c>
      <c r="AO805" t="s">
        <v>3511</v>
      </c>
      <c r="AP805" t="s">
        <v>3512</v>
      </c>
      <c r="AQ805" t="s">
        <v>74</v>
      </c>
      <c r="AR805" t="s">
        <v>3513</v>
      </c>
      <c r="AS805" t="s">
        <v>3514</v>
      </c>
      <c r="AT805" t="s">
        <v>9676</v>
      </c>
      <c r="AU805">
        <v>2005</v>
      </c>
      <c r="AV805">
        <v>32</v>
      </c>
      <c r="AW805">
        <v>1</v>
      </c>
      <c r="AX805" t="s">
        <v>74</v>
      </c>
      <c r="AY805" t="s">
        <v>74</v>
      </c>
      <c r="AZ805" t="s">
        <v>74</v>
      </c>
      <c r="BA805" t="s">
        <v>74</v>
      </c>
      <c r="BB805">
        <v>49</v>
      </c>
      <c r="BC805">
        <v>62</v>
      </c>
      <c r="BD805" t="s">
        <v>74</v>
      </c>
      <c r="BE805" t="s">
        <v>11513</v>
      </c>
      <c r="BF805" t="str">
        <f>HYPERLINK("http://dx.doi.org/10.1111/j.1365-2699.2004.01167.x","http://dx.doi.org/10.1111/j.1365-2699.2004.01167.x")</f>
        <v>http://dx.doi.org/10.1111/j.1365-2699.2004.01167.x</v>
      </c>
      <c r="BG805" t="s">
        <v>74</v>
      </c>
      <c r="BH805" t="s">
        <v>74</v>
      </c>
      <c r="BI805">
        <v>14</v>
      </c>
      <c r="BJ805" t="s">
        <v>3516</v>
      </c>
      <c r="BK805" t="s">
        <v>95</v>
      </c>
      <c r="BL805" t="s">
        <v>2963</v>
      </c>
      <c r="BM805" t="s">
        <v>11514</v>
      </c>
      <c r="BN805" t="s">
        <v>74</v>
      </c>
      <c r="BO805" t="s">
        <v>74</v>
      </c>
      <c r="BP805" t="s">
        <v>74</v>
      </c>
      <c r="BQ805" t="s">
        <v>74</v>
      </c>
      <c r="BR805" t="s">
        <v>97</v>
      </c>
      <c r="BS805" t="s">
        <v>11515</v>
      </c>
      <c r="BT805" t="str">
        <f>HYPERLINK("https%3A%2F%2Fwww.webofscience.com%2Fwos%2Fwoscc%2Ffull-record%2FWOS:000225951900005","View Full Record in Web of Science")</f>
        <v>View Full Record in Web of Science</v>
      </c>
    </row>
    <row r="806" spans="1:72" x14ac:dyDescent="0.15">
      <c r="A806" t="s">
        <v>72</v>
      </c>
      <c r="B806" t="s">
        <v>11516</v>
      </c>
      <c r="C806" t="s">
        <v>74</v>
      </c>
      <c r="D806" t="s">
        <v>74</v>
      </c>
      <c r="E806" t="s">
        <v>74</v>
      </c>
      <c r="F806" t="s">
        <v>11516</v>
      </c>
      <c r="G806" t="s">
        <v>74</v>
      </c>
      <c r="H806" t="s">
        <v>74</v>
      </c>
      <c r="I806" t="s">
        <v>11517</v>
      </c>
      <c r="J806" t="s">
        <v>3501</v>
      </c>
      <c r="K806" t="s">
        <v>74</v>
      </c>
      <c r="L806" t="s">
        <v>74</v>
      </c>
      <c r="M806" t="s">
        <v>77</v>
      </c>
      <c r="N806" t="s">
        <v>365</v>
      </c>
      <c r="O806" t="s">
        <v>74</v>
      </c>
      <c r="P806" t="s">
        <v>74</v>
      </c>
      <c r="Q806" t="s">
        <v>74</v>
      </c>
      <c r="R806" t="s">
        <v>74</v>
      </c>
      <c r="S806" t="s">
        <v>74</v>
      </c>
      <c r="T806" t="s">
        <v>11518</v>
      </c>
      <c r="U806" t="s">
        <v>11519</v>
      </c>
      <c r="V806" t="s">
        <v>11520</v>
      </c>
      <c r="W806" t="s">
        <v>11521</v>
      </c>
      <c r="X806" t="s">
        <v>11522</v>
      </c>
      <c r="Y806" t="s">
        <v>11523</v>
      </c>
      <c r="Z806" t="s">
        <v>2136</v>
      </c>
      <c r="AA806" t="s">
        <v>11524</v>
      </c>
      <c r="AB806" t="s">
        <v>11525</v>
      </c>
      <c r="AC806" t="s">
        <v>74</v>
      </c>
      <c r="AD806" t="s">
        <v>74</v>
      </c>
      <c r="AE806" t="s">
        <v>74</v>
      </c>
      <c r="AF806" t="s">
        <v>74</v>
      </c>
      <c r="AG806">
        <v>119</v>
      </c>
      <c r="AH806">
        <v>66</v>
      </c>
      <c r="AI806">
        <v>81</v>
      </c>
      <c r="AJ806">
        <v>1</v>
      </c>
      <c r="AK806">
        <v>35</v>
      </c>
      <c r="AL806" t="s">
        <v>472</v>
      </c>
      <c r="AM806" t="s">
        <v>473</v>
      </c>
      <c r="AN806" t="s">
        <v>474</v>
      </c>
      <c r="AO806" t="s">
        <v>3511</v>
      </c>
      <c r="AP806" t="s">
        <v>3512</v>
      </c>
      <c r="AQ806" t="s">
        <v>74</v>
      </c>
      <c r="AR806" t="s">
        <v>3513</v>
      </c>
      <c r="AS806" t="s">
        <v>3514</v>
      </c>
      <c r="AT806" t="s">
        <v>9676</v>
      </c>
      <c r="AU806">
        <v>2005</v>
      </c>
      <c r="AV806">
        <v>32</v>
      </c>
      <c r="AW806">
        <v>1</v>
      </c>
      <c r="AX806" t="s">
        <v>74</v>
      </c>
      <c r="AY806" t="s">
        <v>74</v>
      </c>
      <c r="AZ806" t="s">
        <v>74</v>
      </c>
      <c r="BA806" t="s">
        <v>74</v>
      </c>
      <c r="BB806">
        <v>155</v>
      </c>
      <c r="BC806">
        <v>168</v>
      </c>
      <c r="BD806" t="s">
        <v>74</v>
      </c>
      <c r="BE806" t="s">
        <v>11526</v>
      </c>
      <c r="BF806" t="str">
        <f>HYPERLINK("http://dx.doi.org/10.1111/j.1365-2699.2004.01169.x","http://dx.doi.org/10.1111/j.1365-2699.2004.01169.x")</f>
        <v>http://dx.doi.org/10.1111/j.1365-2699.2004.01169.x</v>
      </c>
      <c r="BG806" t="s">
        <v>74</v>
      </c>
      <c r="BH806" t="s">
        <v>74</v>
      </c>
      <c r="BI806">
        <v>14</v>
      </c>
      <c r="BJ806" t="s">
        <v>3516</v>
      </c>
      <c r="BK806" t="s">
        <v>95</v>
      </c>
      <c r="BL806" t="s">
        <v>2963</v>
      </c>
      <c r="BM806" t="s">
        <v>11514</v>
      </c>
      <c r="BN806" t="s">
        <v>74</v>
      </c>
      <c r="BO806" t="s">
        <v>74</v>
      </c>
      <c r="BP806" t="s">
        <v>74</v>
      </c>
      <c r="BQ806" t="s">
        <v>74</v>
      </c>
      <c r="BR806" t="s">
        <v>97</v>
      </c>
      <c r="BS806" t="s">
        <v>11527</v>
      </c>
      <c r="BT806" t="str">
        <f>HYPERLINK("https%3A%2F%2Fwww.webofscience.com%2Fwos%2Fwoscc%2Ffull-record%2FWOS:000225951900014","View Full Record in Web of Science")</f>
        <v>View Full Record in Web of Science</v>
      </c>
    </row>
    <row r="807" spans="1:72" x14ac:dyDescent="0.15">
      <c r="A807" t="s">
        <v>72</v>
      </c>
      <c r="B807" t="s">
        <v>5668</v>
      </c>
      <c r="C807" t="s">
        <v>74</v>
      </c>
      <c r="D807" t="s">
        <v>74</v>
      </c>
      <c r="E807" t="s">
        <v>74</v>
      </c>
      <c r="F807" t="s">
        <v>5668</v>
      </c>
      <c r="G807" t="s">
        <v>74</v>
      </c>
      <c r="H807" t="s">
        <v>74</v>
      </c>
      <c r="I807" t="s">
        <v>11528</v>
      </c>
      <c r="J807" t="s">
        <v>11529</v>
      </c>
      <c r="K807" t="s">
        <v>74</v>
      </c>
      <c r="L807" t="s">
        <v>74</v>
      </c>
      <c r="M807" t="s">
        <v>77</v>
      </c>
      <c r="N807" t="s">
        <v>78</v>
      </c>
      <c r="O807" t="s">
        <v>74</v>
      </c>
      <c r="P807" t="s">
        <v>74</v>
      </c>
      <c r="Q807" t="s">
        <v>74</v>
      </c>
      <c r="R807" t="s">
        <v>74</v>
      </c>
      <c r="S807" t="s">
        <v>74</v>
      </c>
      <c r="T807" t="s">
        <v>11530</v>
      </c>
      <c r="U807" t="s">
        <v>11531</v>
      </c>
      <c r="V807" t="s">
        <v>11532</v>
      </c>
      <c r="W807" t="s">
        <v>670</v>
      </c>
      <c r="X807" t="s">
        <v>671</v>
      </c>
      <c r="Y807" t="s">
        <v>2616</v>
      </c>
      <c r="Z807" t="s">
        <v>11533</v>
      </c>
      <c r="AA807" t="s">
        <v>74</v>
      </c>
      <c r="AB807" t="s">
        <v>74</v>
      </c>
      <c r="AC807" t="s">
        <v>11534</v>
      </c>
      <c r="AD807" t="s">
        <v>235</v>
      </c>
      <c r="AE807" t="s">
        <v>74</v>
      </c>
      <c r="AF807" t="s">
        <v>74</v>
      </c>
      <c r="AG807">
        <v>58</v>
      </c>
      <c r="AH807">
        <v>9</v>
      </c>
      <c r="AI807">
        <v>12</v>
      </c>
      <c r="AJ807">
        <v>3</v>
      </c>
      <c r="AK807">
        <v>26</v>
      </c>
      <c r="AL807" t="s">
        <v>394</v>
      </c>
      <c r="AM807" t="s">
        <v>395</v>
      </c>
      <c r="AN807" t="s">
        <v>396</v>
      </c>
      <c r="AO807" t="s">
        <v>11535</v>
      </c>
      <c r="AP807" t="s">
        <v>11536</v>
      </c>
      <c r="AQ807" t="s">
        <v>74</v>
      </c>
      <c r="AR807" t="s">
        <v>11537</v>
      </c>
      <c r="AS807" t="s">
        <v>11538</v>
      </c>
      <c r="AT807" t="s">
        <v>74</v>
      </c>
      <c r="AU807">
        <v>2005</v>
      </c>
      <c r="AV807">
        <v>27</v>
      </c>
      <c r="AW807" t="s">
        <v>74</v>
      </c>
      <c r="AX807">
        <v>3</v>
      </c>
      <c r="AY807" t="s">
        <v>74</v>
      </c>
      <c r="AZ807" t="s">
        <v>74</v>
      </c>
      <c r="BA807" t="s">
        <v>74</v>
      </c>
      <c r="BB807">
        <v>195</v>
      </c>
      <c r="BC807">
        <v>206</v>
      </c>
      <c r="BD807" t="s">
        <v>74</v>
      </c>
      <c r="BE807" t="s">
        <v>11539</v>
      </c>
      <c r="BF807" t="str">
        <f>HYPERLINK("http://dx.doi.org/10.1179/174328205X69940","http://dx.doi.org/10.1179/174328205X69940")</f>
        <v>http://dx.doi.org/10.1179/174328205X69940</v>
      </c>
      <c r="BG807" t="s">
        <v>74</v>
      </c>
      <c r="BH807" t="s">
        <v>74</v>
      </c>
      <c r="BI807">
        <v>12</v>
      </c>
      <c r="BJ807" t="s">
        <v>4781</v>
      </c>
      <c r="BK807" t="s">
        <v>95</v>
      </c>
      <c r="BL807" t="s">
        <v>4781</v>
      </c>
      <c r="BM807" t="s">
        <v>11540</v>
      </c>
      <c r="BN807" t="s">
        <v>74</v>
      </c>
      <c r="BO807" t="s">
        <v>74</v>
      </c>
      <c r="BP807" t="s">
        <v>74</v>
      </c>
      <c r="BQ807" t="s">
        <v>74</v>
      </c>
      <c r="BR807" t="s">
        <v>97</v>
      </c>
      <c r="BS807" t="s">
        <v>11541</v>
      </c>
      <c r="BT807" t="str">
        <f>HYPERLINK("https%3A%2F%2Fwww.webofscience.com%2Fwos%2Fwoscc%2Ffull-record%2FWOS:000233432700002","View Full Record in Web of Science")</f>
        <v>View Full Record in Web of Science</v>
      </c>
    </row>
    <row r="808" spans="1:72" x14ac:dyDescent="0.15">
      <c r="A808" t="s">
        <v>72</v>
      </c>
      <c r="B808" t="s">
        <v>11542</v>
      </c>
      <c r="C808" t="s">
        <v>74</v>
      </c>
      <c r="D808" t="s">
        <v>74</v>
      </c>
      <c r="E808" t="s">
        <v>74</v>
      </c>
      <c r="F808" t="s">
        <v>11542</v>
      </c>
      <c r="G808" t="s">
        <v>74</v>
      </c>
      <c r="H808" t="s">
        <v>74</v>
      </c>
      <c r="I808" t="s">
        <v>11543</v>
      </c>
      <c r="J808" t="s">
        <v>8294</v>
      </c>
      <c r="K808" t="s">
        <v>74</v>
      </c>
      <c r="L808" t="s">
        <v>74</v>
      </c>
      <c r="M808" t="s">
        <v>77</v>
      </c>
      <c r="N808" t="s">
        <v>78</v>
      </c>
      <c r="O808" t="s">
        <v>74</v>
      </c>
      <c r="P808" t="s">
        <v>74</v>
      </c>
      <c r="Q808" t="s">
        <v>74</v>
      </c>
      <c r="R808" t="s">
        <v>74</v>
      </c>
      <c r="S808" t="s">
        <v>74</v>
      </c>
      <c r="T808" t="s">
        <v>74</v>
      </c>
      <c r="U808" t="s">
        <v>11544</v>
      </c>
      <c r="V808" t="s">
        <v>11545</v>
      </c>
      <c r="W808" t="s">
        <v>11546</v>
      </c>
      <c r="X808" t="s">
        <v>11547</v>
      </c>
      <c r="Y808" t="s">
        <v>11548</v>
      </c>
      <c r="Z808" t="s">
        <v>11549</v>
      </c>
      <c r="AA808" t="s">
        <v>11550</v>
      </c>
      <c r="AB808" t="s">
        <v>11551</v>
      </c>
      <c r="AC808" t="s">
        <v>74</v>
      </c>
      <c r="AD808" t="s">
        <v>74</v>
      </c>
      <c r="AE808" t="s">
        <v>74</v>
      </c>
      <c r="AF808" t="s">
        <v>74</v>
      </c>
      <c r="AG808">
        <v>27</v>
      </c>
      <c r="AH808">
        <v>73</v>
      </c>
      <c r="AI808">
        <v>79</v>
      </c>
      <c r="AJ808">
        <v>1</v>
      </c>
      <c r="AK808">
        <v>56</v>
      </c>
      <c r="AL808" t="s">
        <v>8303</v>
      </c>
      <c r="AM808" t="s">
        <v>1813</v>
      </c>
      <c r="AN808" t="s">
        <v>8304</v>
      </c>
      <c r="AO808" t="s">
        <v>8305</v>
      </c>
      <c r="AP808" t="s">
        <v>74</v>
      </c>
      <c r="AQ808" t="s">
        <v>74</v>
      </c>
      <c r="AR808" t="s">
        <v>8307</v>
      </c>
      <c r="AS808" t="s">
        <v>8308</v>
      </c>
      <c r="AT808" t="s">
        <v>9676</v>
      </c>
      <c r="AU808">
        <v>2005</v>
      </c>
      <c r="AV808">
        <v>7</v>
      </c>
      <c r="AW808">
        <v>1</v>
      </c>
      <c r="AX808" t="s">
        <v>74</v>
      </c>
      <c r="AY808" t="s">
        <v>74</v>
      </c>
      <c r="AZ808" t="s">
        <v>74</v>
      </c>
      <c r="BA808" t="s">
        <v>74</v>
      </c>
      <c r="BB808">
        <v>37</v>
      </c>
      <c r="BC808">
        <v>42</v>
      </c>
      <c r="BD808" t="s">
        <v>74</v>
      </c>
      <c r="BE808" t="s">
        <v>11552</v>
      </c>
      <c r="BF808" t="str">
        <f>HYPERLINK("http://dx.doi.org/10.1039/b405924g","http://dx.doi.org/10.1039/b405924g")</f>
        <v>http://dx.doi.org/10.1039/b405924g</v>
      </c>
      <c r="BG808" t="s">
        <v>74</v>
      </c>
      <c r="BH808" t="s">
        <v>74</v>
      </c>
      <c r="BI808">
        <v>6</v>
      </c>
      <c r="BJ808" t="s">
        <v>8310</v>
      </c>
      <c r="BK808" t="s">
        <v>95</v>
      </c>
      <c r="BL808" t="s">
        <v>8311</v>
      </c>
      <c r="BM808" t="s">
        <v>11553</v>
      </c>
      <c r="BN808">
        <v>15614400</v>
      </c>
      <c r="BO808" t="s">
        <v>74</v>
      </c>
      <c r="BP808" t="s">
        <v>74</v>
      </c>
      <c r="BQ808" t="s">
        <v>74</v>
      </c>
      <c r="BR808" t="s">
        <v>97</v>
      </c>
      <c r="BS808" t="s">
        <v>11554</v>
      </c>
      <c r="BT808" t="str">
        <f>HYPERLINK("https%3A%2F%2Fwww.webofscience.com%2Fwos%2Fwoscc%2Ffull-record%2FWOS:000226926700010","View Full Record in Web of Science")</f>
        <v>View Full Record in Web of Science</v>
      </c>
    </row>
    <row r="809" spans="1:72" x14ac:dyDescent="0.15">
      <c r="A809" t="s">
        <v>72</v>
      </c>
      <c r="B809" t="s">
        <v>11555</v>
      </c>
      <c r="C809" t="s">
        <v>74</v>
      </c>
      <c r="D809" t="s">
        <v>74</v>
      </c>
      <c r="E809" t="s">
        <v>74</v>
      </c>
      <c r="F809" t="s">
        <v>11555</v>
      </c>
      <c r="G809" t="s">
        <v>74</v>
      </c>
      <c r="H809" t="s">
        <v>74</v>
      </c>
      <c r="I809" t="s">
        <v>11556</v>
      </c>
      <c r="J809" t="s">
        <v>8294</v>
      </c>
      <c r="K809" t="s">
        <v>74</v>
      </c>
      <c r="L809" t="s">
        <v>74</v>
      </c>
      <c r="M809" t="s">
        <v>77</v>
      </c>
      <c r="N809" t="s">
        <v>78</v>
      </c>
      <c r="O809" t="s">
        <v>74</v>
      </c>
      <c r="P809" t="s">
        <v>74</v>
      </c>
      <c r="Q809" t="s">
        <v>74</v>
      </c>
      <c r="R809" t="s">
        <v>74</v>
      </c>
      <c r="S809" t="s">
        <v>74</v>
      </c>
      <c r="T809" t="s">
        <v>74</v>
      </c>
      <c r="U809" t="s">
        <v>11557</v>
      </c>
      <c r="V809" t="s">
        <v>11558</v>
      </c>
      <c r="W809" t="s">
        <v>11559</v>
      </c>
      <c r="X809" t="s">
        <v>11560</v>
      </c>
      <c r="Y809" t="s">
        <v>11561</v>
      </c>
      <c r="Z809" t="s">
        <v>5260</v>
      </c>
      <c r="AA809" t="s">
        <v>11562</v>
      </c>
      <c r="AB809" t="s">
        <v>11563</v>
      </c>
      <c r="AC809" t="s">
        <v>74</v>
      </c>
      <c r="AD809" t="s">
        <v>74</v>
      </c>
      <c r="AE809" t="s">
        <v>74</v>
      </c>
      <c r="AF809" t="s">
        <v>74</v>
      </c>
      <c r="AG809">
        <v>23</v>
      </c>
      <c r="AH809">
        <v>36</v>
      </c>
      <c r="AI809">
        <v>39</v>
      </c>
      <c r="AJ809">
        <v>0</v>
      </c>
      <c r="AK809">
        <v>22</v>
      </c>
      <c r="AL809" t="s">
        <v>8303</v>
      </c>
      <c r="AM809" t="s">
        <v>1813</v>
      </c>
      <c r="AN809" t="s">
        <v>8304</v>
      </c>
      <c r="AO809" t="s">
        <v>8305</v>
      </c>
      <c r="AP809" t="s">
        <v>8306</v>
      </c>
      <c r="AQ809" t="s">
        <v>74</v>
      </c>
      <c r="AR809" t="s">
        <v>8307</v>
      </c>
      <c r="AS809" t="s">
        <v>8308</v>
      </c>
      <c r="AT809" t="s">
        <v>74</v>
      </c>
      <c r="AU809">
        <v>2005</v>
      </c>
      <c r="AV809">
        <v>7</v>
      </c>
      <c r="AW809">
        <v>12</v>
      </c>
      <c r="AX809" t="s">
        <v>74</v>
      </c>
      <c r="AY809" t="s">
        <v>74</v>
      </c>
      <c r="AZ809" t="s">
        <v>74</v>
      </c>
      <c r="BA809" t="s">
        <v>74</v>
      </c>
      <c r="BB809">
        <v>1265</v>
      </c>
      <c r="BC809">
        <v>1274</v>
      </c>
      <c r="BD809" t="s">
        <v>74</v>
      </c>
      <c r="BE809" t="s">
        <v>11564</v>
      </c>
      <c r="BF809" t="str">
        <f>HYPERLINK("http://dx.doi.org/10.1039/b507327h","http://dx.doi.org/10.1039/b507327h")</f>
        <v>http://dx.doi.org/10.1039/b507327h</v>
      </c>
      <c r="BG809" t="s">
        <v>74</v>
      </c>
      <c r="BH809" t="s">
        <v>74</v>
      </c>
      <c r="BI809">
        <v>10</v>
      </c>
      <c r="BJ809" t="s">
        <v>8310</v>
      </c>
      <c r="BK809" t="s">
        <v>95</v>
      </c>
      <c r="BL809" t="s">
        <v>8311</v>
      </c>
      <c r="BM809" t="s">
        <v>11565</v>
      </c>
      <c r="BN809">
        <v>16307082</v>
      </c>
      <c r="BO809" t="s">
        <v>74</v>
      </c>
      <c r="BP809" t="s">
        <v>74</v>
      </c>
      <c r="BQ809" t="s">
        <v>74</v>
      </c>
      <c r="BR809" t="s">
        <v>97</v>
      </c>
      <c r="BS809" t="s">
        <v>11566</v>
      </c>
      <c r="BT809" t="str">
        <f>HYPERLINK("https%3A%2F%2Fwww.webofscience.com%2Fwos%2Fwoscc%2Ffull-record%2FWOS:000233459000020","View Full Record in Web of Science")</f>
        <v>View Full Record in Web of Science</v>
      </c>
    </row>
    <row r="810" spans="1:72" x14ac:dyDescent="0.15">
      <c r="A810" t="s">
        <v>72</v>
      </c>
      <c r="B810" t="s">
        <v>11567</v>
      </c>
      <c r="C810" t="s">
        <v>74</v>
      </c>
      <c r="D810" t="s">
        <v>74</v>
      </c>
      <c r="E810" t="s">
        <v>74</v>
      </c>
      <c r="F810" t="s">
        <v>11567</v>
      </c>
      <c r="G810" t="s">
        <v>74</v>
      </c>
      <c r="H810" t="s">
        <v>74</v>
      </c>
      <c r="I810" t="s">
        <v>11568</v>
      </c>
      <c r="J810" t="s">
        <v>8294</v>
      </c>
      <c r="K810" t="s">
        <v>74</v>
      </c>
      <c r="L810" t="s">
        <v>74</v>
      </c>
      <c r="M810" t="s">
        <v>77</v>
      </c>
      <c r="N810" t="s">
        <v>78</v>
      </c>
      <c r="O810" t="s">
        <v>74</v>
      </c>
      <c r="P810" t="s">
        <v>74</v>
      </c>
      <c r="Q810" t="s">
        <v>74</v>
      </c>
      <c r="R810" t="s">
        <v>74</v>
      </c>
      <c r="S810" t="s">
        <v>74</v>
      </c>
      <c r="T810" t="s">
        <v>74</v>
      </c>
      <c r="U810" t="s">
        <v>11569</v>
      </c>
      <c r="V810" t="s">
        <v>11570</v>
      </c>
      <c r="W810" t="s">
        <v>11571</v>
      </c>
      <c r="X810" t="s">
        <v>11572</v>
      </c>
      <c r="Y810" t="s">
        <v>11573</v>
      </c>
      <c r="Z810" t="s">
        <v>11574</v>
      </c>
      <c r="AA810" t="s">
        <v>11575</v>
      </c>
      <c r="AB810" t="s">
        <v>11576</v>
      </c>
      <c r="AC810" t="s">
        <v>74</v>
      </c>
      <c r="AD810" t="s">
        <v>74</v>
      </c>
      <c r="AE810" t="s">
        <v>74</v>
      </c>
      <c r="AF810" t="s">
        <v>74</v>
      </c>
      <c r="AG810">
        <v>22</v>
      </c>
      <c r="AH810">
        <v>30</v>
      </c>
      <c r="AI810">
        <v>30</v>
      </c>
      <c r="AJ810">
        <v>2</v>
      </c>
      <c r="AK810">
        <v>22</v>
      </c>
      <c r="AL810" t="s">
        <v>8303</v>
      </c>
      <c r="AM810" t="s">
        <v>1813</v>
      </c>
      <c r="AN810" t="s">
        <v>8304</v>
      </c>
      <c r="AO810" t="s">
        <v>8305</v>
      </c>
      <c r="AP810" t="s">
        <v>8306</v>
      </c>
      <c r="AQ810" t="s">
        <v>74</v>
      </c>
      <c r="AR810" t="s">
        <v>8307</v>
      </c>
      <c r="AS810" t="s">
        <v>8308</v>
      </c>
      <c r="AT810" t="s">
        <v>74</v>
      </c>
      <c r="AU810">
        <v>2005</v>
      </c>
      <c r="AV810">
        <v>7</v>
      </c>
      <c r="AW810">
        <v>12</v>
      </c>
      <c r="AX810" t="s">
        <v>74</v>
      </c>
      <c r="AY810" t="s">
        <v>74</v>
      </c>
      <c r="AZ810" t="s">
        <v>74</v>
      </c>
      <c r="BA810" t="s">
        <v>74</v>
      </c>
      <c r="BB810">
        <v>1275</v>
      </c>
      <c r="BC810">
        <v>1280</v>
      </c>
      <c r="BD810" t="s">
        <v>74</v>
      </c>
      <c r="BE810" t="s">
        <v>11577</v>
      </c>
      <c r="BF810" t="str">
        <f>HYPERLINK("http://dx.doi.org/10.1039/b507337p","http://dx.doi.org/10.1039/b507337p")</f>
        <v>http://dx.doi.org/10.1039/b507337p</v>
      </c>
      <c r="BG810" t="s">
        <v>74</v>
      </c>
      <c r="BH810" t="s">
        <v>74</v>
      </c>
      <c r="BI810">
        <v>6</v>
      </c>
      <c r="BJ810" t="s">
        <v>8310</v>
      </c>
      <c r="BK810" t="s">
        <v>95</v>
      </c>
      <c r="BL810" t="s">
        <v>8311</v>
      </c>
      <c r="BM810" t="s">
        <v>11565</v>
      </c>
      <c r="BN810">
        <v>16307083</v>
      </c>
      <c r="BO810" t="s">
        <v>143</v>
      </c>
      <c r="BP810" t="s">
        <v>74</v>
      </c>
      <c r="BQ810" t="s">
        <v>74</v>
      </c>
      <c r="BR810" t="s">
        <v>97</v>
      </c>
      <c r="BS810" t="s">
        <v>11578</v>
      </c>
      <c r="BT810" t="str">
        <f>HYPERLINK("https%3A%2F%2Fwww.webofscience.com%2Fwos%2Fwoscc%2Ffull-record%2FWOS:000233459000021","View Full Record in Web of Science")</f>
        <v>View Full Record in Web of Science</v>
      </c>
    </row>
    <row r="811" spans="1:72" x14ac:dyDescent="0.15">
      <c r="A811" t="s">
        <v>72</v>
      </c>
      <c r="B811" t="s">
        <v>11579</v>
      </c>
      <c r="C811" t="s">
        <v>74</v>
      </c>
      <c r="D811" t="s">
        <v>74</v>
      </c>
      <c r="E811" t="s">
        <v>74</v>
      </c>
      <c r="F811" t="s">
        <v>11579</v>
      </c>
      <c r="G811" t="s">
        <v>74</v>
      </c>
      <c r="H811" t="s">
        <v>74</v>
      </c>
      <c r="I811" t="s">
        <v>11580</v>
      </c>
      <c r="J811" t="s">
        <v>8294</v>
      </c>
      <c r="K811" t="s">
        <v>74</v>
      </c>
      <c r="L811" t="s">
        <v>74</v>
      </c>
      <c r="M811" t="s">
        <v>77</v>
      </c>
      <c r="N811" t="s">
        <v>78</v>
      </c>
      <c r="O811" t="s">
        <v>74</v>
      </c>
      <c r="P811" t="s">
        <v>74</v>
      </c>
      <c r="Q811" t="s">
        <v>74</v>
      </c>
      <c r="R811" t="s">
        <v>74</v>
      </c>
      <c r="S811" t="s">
        <v>74</v>
      </c>
      <c r="T811" t="s">
        <v>74</v>
      </c>
      <c r="U811" t="s">
        <v>11581</v>
      </c>
      <c r="V811" t="s">
        <v>11582</v>
      </c>
      <c r="W811" t="s">
        <v>11583</v>
      </c>
      <c r="X811" t="s">
        <v>11584</v>
      </c>
      <c r="Y811" t="s">
        <v>11585</v>
      </c>
      <c r="Z811" t="s">
        <v>11586</v>
      </c>
      <c r="AA811" t="s">
        <v>11587</v>
      </c>
      <c r="AB811" t="s">
        <v>11588</v>
      </c>
      <c r="AC811" t="s">
        <v>74</v>
      </c>
      <c r="AD811" t="s">
        <v>74</v>
      </c>
      <c r="AE811" t="s">
        <v>74</v>
      </c>
      <c r="AF811" t="s">
        <v>74</v>
      </c>
      <c r="AG811">
        <v>22</v>
      </c>
      <c r="AH811">
        <v>7</v>
      </c>
      <c r="AI811">
        <v>8</v>
      </c>
      <c r="AJ811">
        <v>0</v>
      </c>
      <c r="AK811">
        <v>12</v>
      </c>
      <c r="AL811" t="s">
        <v>8303</v>
      </c>
      <c r="AM811" t="s">
        <v>1813</v>
      </c>
      <c r="AN811" t="s">
        <v>8304</v>
      </c>
      <c r="AO811" t="s">
        <v>8305</v>
      </c>
      <c r="AP811" t="s">
        <v>8306</v>
      </c>
      <c r="AQ811" t="s">
        <v>74</v>
      </c>
      <c r="AR811" t="s">
        <v>8307</v>
      </c>
      <c r="AS811" t="s">
        <v>8308</v>
      </c>
      <c r="AT811" t="s">
        <v>74</v>
      </c>
      <c r="AU811">
        <v>2005</v>
      </c>
      <c r="AV811">
        <v>7</v>
      </c>
      <c r="AW811">
        <v>12</v>
      </c>
      <c r="AX811" t="s">
        <v>74</v>
      </c>
      <c r="AY811" t="s">
        <v>74</v>
      </c>
      <c r="AZ811" t="s">
        <v>74</v>
      </c>
      <c r="BA811" t="s">
        <v>74</v>
      </c>
      <c r="BB811">
        <v>1281</v>
      </c>
      <c r="BC811">
        <v>1286</v>
      </c>
      <c r="BD811" t="s">
        <v>74</v>
      </c>
      <c r="BE811" t="s">
        <v>11589</v>
      </c>
      <c r="BF811" t="str">
        <f>HYPERLINK("http://dx.doi.org/10.1039/b507317k","http://dx.doi.org/10.1039/b507317k")</f>
        <v>http://dx.doi.org/10.1039/b507317k</v>
      </c>
      <c r="BG811" t="s">
        <v>74</v>
      </c>
      <c r="BH811" t="s">
        <v>74</v>
      </c>
      <c r="BI811">
        <v>6</v>
      </c>
      <c r="BJ811" t="s">
        <v>8310</v>
      </c>
      <c r="BK811" t="s">
        <v>95</v>
      </c>
      <c r="BL811" t="s">
        <v>8311</v>
      </c>
      <c r="BM811" t="s">
        <v>11565</v>
      </c>
      <c r="BN811">
        <v>16307084</v>
      </c>
      <c r="BO811" t="s">
        <v>74</v>
      </c>
      <c r="BP811" t="s">
        <v>74</v>
      </c>
      <c r="BQ811" t="s">
        <v>74</v>
      </c>
      <c r="BR811" t="s">
        <v>97</v>
      </c>
      <c r="BS811" t="s">
        <v>11590</v>
      </c>
      <c r="BT811" t="str">
        <f>HYPERLINK("https%3A%2F%2Fwww.webofscience.com%2Fwos%2Fwoscc%2Ffull-record%2FWOS:000233459000022","View Full Record in Web of Science")</f>
        <v>View Full Record in Web of Science</v>
      </c>
    </row>
    <row r="812" spans="1:72" x14ac:dyDescent="0.15">
      <c r="A812" t="s">
        <v>72</v>
      </c>
      <c r="B812" t="s">
        <v>11591</v>
      </c>
      <c r="C812" t="s">
        <v>74</v>
      </c>
      <c r="D812" t="s">
        <v>74</v>
      </c>
      <c r="E812" t="s">
        <v>74</v>
      </c>
      <c r="F812" t="s">
        <v>11591</v>
      </c>
      <c r="G812" t="s">
        <v>74</v>
      </c>
      <c r="H812" t="s">
        <v>74</v>
      </c>
      <c r="I812" t="s">
        <v>11592</v>
      </c>
      <c r="J812" t="s">
        <v>8294</v>
      </c>
      <c r="K812" t="s">
        <v>74</v>
      </c>
      <c r="L812" t="s">
        <v>74</v>
      </c>
      <c r="M812" t="s">
        <v>77</v>
      </c>
      <c r="N812" t="s">
        <v>78</v>
      </c>
      <c r="O812" t="s">
        <v>74</v>
      </c>
      <c r="P812" t="s">
        <v>74</v>
      </c>
      <c r="Q812" t="s">
        <v>74</v>
      </c>
      <c r="R812" t="s">
        <v>74</v>
      </c>
      <c r="S812" t="s">
        <v>74</v>
      </c>
      <c r="T812" t="s">
        <v>74</v>
      </c>
      <c r="U812" t="s">
        <v>11593</v>
      </c>
      <c r="V812" t="s">
        <v>11594</v>
      </c>
      <c r="W812" t="s">
        <v>11595</v>
      </c>
      <c r="X812" t="s">
        <v>11596</v>
      </c>
      <c r="Y812" t="s">
        <v>11597</v>
      </c>
      <c r="Z812" t="s">
        <v>11598</v>
      </c>
      <c r="AA812" t="s">
        <v>11599</v>
      </c>
      <c r="AB812" t="s">
        <v>11600</v>
      </c>
      <c r="AC812" t="s">
        <v>74</v>
      </c>
      <c r="AD812" t="s">
        <v>74</v>
      </c>
      <c r="AE812" t="s">
        <v>74</v>
      </c>
      <c r="AF812" t="s">
        <v>74</v>
      </c>
      <c r="AG812">
        <v>15</v>
      </c>
      <c r="AH812">
        <v>5</v>
      </c>
      <c r="AI812">
        <v>5</v>
      </c>
      <c r="AJ812">
        <v>0</v>
      </c>
      <c r="AK812">
        <v>4</v>
      </c>
      <c r="AL812" t="s">
        <v>8303</v>
      </c>
      <c r="AM812" t="s">
        <v>1813</v>
      </c>
      <c r="AN812" t="s">
        <v>8304</v>
      </c>
      <c r="AO812" t="s">
        <v>8305</v>
      </c>
      <c r="AP812" t="s">
        <v>8306</v>
      </c>
      <c r="AQ812" t="s">
        <v>74</v>
      </c>
      <c r="AR812" t="s">
        <v>8307</v>
      </c>
      <c r="AS812" t="s">
        <v>8308</v>
      </c>
      <c r="AT812" t="s">
        <v>74</v>
      </c>
      <c r="AU812">
        <v>2005</v>
      </c>
      <c r="AV812">
        <v>7</v>
      </c>
      <c r="AW812">
        <v>12</v>
      </c>
      <c r="AX812" t="s">
        <v>74</v>
      </c>
      <c r="AY812" t="s">
        <v>74</v>
      </c>
      <c r="AZ812" t="s">
        <v>74</v>
      </c>
      <c r="BA812" t="s">
        <v>74</v>
      </c>
      <c r="BB812">
        <v>1295</v>
      </c>
      <c r="BC812">
        <v>1298</v>
      </c>
      <c r="BD812" t="s">
        <v>74</v>
      </c>
      <c r="BE812" t="s">
        <v>11601</v>
      </c>
      <c r="BF812" t="str">
        <f>HYPERLINK("http://dx.doi.org/10.1039/b507318a","http://dx.doi.org/10.1039/b507318a")</f>
        <v>http://dx.doi.org/10.1039/b507318a</v>
      </c>
      <c r="BG812" t="s">
        <v>74</v>
      </c>
      <c r="BH812" t="s">
        <v>74</v>
      </c>
      <c r="BI812">
        <v>4</v>
      </c>
      <c r="BJ812" t="s">
        <v>8310</v>
      </c>
      <c r="BK812" t="s">
        <v>95</v>
      </c>
      <c r="BL812" t="s">
        <v>8311</v>
      </c>
      <c r="BM812" t="s">
        <v>11565</v>
      </c>
      <c r="BN812">
        <v>16307086</v>
      </c>
      <c r="BO812" t="s">
        <v>74</v>
      </c>
      <c r="BP812" t="s">
        <v>74</v>
      </c>
      <c r="BQ812" t="s">
        <v>74</v>
      </c>
      <c r="BR812" t="s">
        <v>97</v>
      </c>
      <c r="BS812" t="s">
        <v>11602</v>
      </c>
      <c r="BT812" t="str">
        <f>HYPERLINK("https%3A%2F%2Fwww.webofscience.com%2Fwos%2Fwoscc%2Ffull-record%2FWOS:000233459000024","View Full Record in Web of Science")</f>
        <v>View Full Record in Web of Science</v>
      </c>
    </row>
    <row r="813" spans="1:72" x14ac:dyDescent="0.15">
      <c r="A813" t="s">
        <v>72</v>
      </c>
      <c r="B813" t="s">
        <v>11603</v>
      </c>
      <c r="C813" t="s">
        <v>74</v>
      </c>
      <c r="D813" t="s">
        <v>74</v>
      </c>
      <c r="E813" t="s">
        <v>74</v>
      </c>
      <c r="F813" t="s">
        <v>11603</v>
      </c>
      <c r="G813" t="s">
        <v>74</v>
      </c>
      <c r="H813" t="s">
        <v>74</v>
      </c>
      <c r="I813" t="s">
        <v>11604</v>
      </c>
      <c r="J813" t="s">
        <v>8294</v>
      </c>
      <c r="K813" t="s">
        <v>74</v>
      </c>
      <c r="L813" t="s">
        <v>74</v>
      </c>
      <c r="M813" t="s">
        <v>77</v>
      </c>
      <c r="N813" t="s">
        <v>78</v>
      </c>
      <c r="O813" t="s">
        <v>74</v>
      </c>
      <c r="P813" t="s">
        <v>74</v>
      </c>
      <c r="Q813" t="s">
        <v>74</v>
      </c>
      <c r="R813" t="s">
        <v>74</v>
      </c>
      <c r="S813" t="s">
        <v>74</v>
      </c>
      <c r="T813" t="s">
        <v>74</v>
      </c>
      <c r="U813" t="s">
        <v>11605</v>
      </c>
      <c r="V813" t="s">
        <v>11606</v>
      </c>
      <c r="W813" t="s">
        <v>11607</v>
      </c>
      <c r="X813" t="s">
        <v>11608</v>
      </c>
      <c r="Y813" t="s">
        <v>11609</v>
      </c>
      <c r="Z813" t="s">
        <v>11610</v>
      </c>
      <c r="AA813" t="s">
        <v>9323</v>
      </c>
      <c r="AB813" t="s">
        <v>11611</v>
      </c>
      <c r="AC813" t="s">
        <v>74</v>
      </c>
      <c r="AD813" t="s">
        <v>74</v>
      </c>
      <c r="AE813" t="s">
        <v>74</v>
      </c>
      <c r="AF813" t="s">
        <v>74</v>
      </c>
      <c r="AG813">
        <v>26</v>
      </c>
      <c r="AH813">
        <v>5</v>
      </c>
      <c r="AI813">
        <v>7</v>
      </c>
      <c r="AJ813">
        <v>2</v>
      </c>
      <c r="AK813">
        <v>15</v>
      </c>
      <c r="AL813" t="s">
        <v>8303</v>
      </c>
      <c r="AM813" t="s">
        <v>1813</v>
      </c>
      <c r="AN813" t="s">
        <v>8304</v>
      </c>
      <c r="AO813" t="s">
        <v>8305</v>
      </c>
      <c r="AP813" t="s">
        <v>74</v>
      </c>
      <c r="AQ813" t="s">
        <v>74</v>
      </c>
      <c r="AR813" t="s">
        <v>8307</v>
      </c>
      <c r="AS813" t="s">
        <v>8308</v>
      </c>
      <c r="AT813" t="s">
        <v>74</v>
      </c>
      <c r="AU813">
        <v>2005</v>
      </c>
      <c r="AV813">
        <v>7</v>
      </c>
      <c r="AW813">
        <v>12</v>
      </c>
      <c r="AX813" t="s">
        <v>74</v>
      </c>
      <c r="AY813" t="s">
        <v>74</v>
      </c>
      <c r="AZ813" t="s">
        <v>74</v>
      </c>
      <c r="BA813" t="s">
        <v>74</v>
      </c>
      <c r="BB813">
        <v>1299</v>
      </c>
      <c r="BC813">
        <v>1304</v>
      </c>
      <c r="BD813" t="s">
        <v>74</v>
      </c>
      <c r="BE813" t="s">
        <v>11612</v>
      </c>
      <c r="BF813" t="str">
        <f>HYPERLINK("http://dx.doi.org/10.1039/b507334k","http://dx.doi.org/10.1039/b507334k")</f>
        <v>http://dx.doi.org/10.1039/b507334k</v>
      </c>
      <c r="BG813" t="s">
        <v>74</v>
      </c>
      <c r="BH813" t="s">
        <v>74</v>
      </c>
      <c r="BI813">
        <v>6</v>
      </c>
      <c r="BJ813" t="s">
        <v>8310</v>
      </c>
      <c r="BK813" t="s">
        <v>95</v>
      </c>
      <c r="BL813" t="s">
        <v>8311</v>
      </c>
      <c r="BM813" t="s">
        <v>11565</v>
      </c>
      <c r="BN813">
        <v>16307087</v>
      </c>
      <c r="BO813" t="s">
        <v>143</v>
      </c>
      <c r="BP813" t="s">
        <v>74</v>
      </c>
      <c r="BQ813" t="s">
        <v>74</v>
      </c>
      <c r="BR813" t="s">
        <v>97</v>
      </c>
      <c r="BS813" t="s">
        <v>11613</v>
      </c>
      <c r="BT813" t="str">
        <f>HYPERLINK("https%3A%2F%2Fwww.webofscience.com%2Fwos%2Fwoscc%2Ffull-record%2FWOS:000233459000025","View Full Record in Web of Science")</f>
        <v>View Full Record in Web of Science</v>
      </c>
    </row>
    <row r="814" spans="1:72" x14ac:dyDescent="0.15">
      <c r="A814" t="s">
        <v>72</v>
      </c>
      <c r="B814" t="s">
        <v>11614</v>
      </c>
      <c r="C814" t="s">
        <v>74</v>
      </c>
      <c r="D814" t="s">
        <v>74</v>
      </c>
      <c r="E814" t="s">
        <v>74</v>
      </c>
      <c r="F814" t="s">
        <v>11614</v>
      </c>
      <c r="G814" t="s">
        <v>74</v>
      </c>
      <c r="H814" t="s">
        <v>74</v>
      </c>
      <c r="I814" t="s">
        <v>11615</v>
      </c>
      <c r="J814" t="s">
        <v>8294</v>
      </c>
      <c r="K814" t="s">
        <v>74</v>
      </c>
      <c r="L814" t="s">
        <v>74</v>
      </c>
      <c r="M814" t="s">
        <v>77</v>
      </c>
      <c r="N814" t="s">
        <v>78</v>
      </c>
      <c r="O814" t="s">
        <v>74</v>
      </c>
      <c r="P814" t="s">
        <v>74</v>
      </c>
      <c r="Q814" t="s">
        <v>74</v>
      </c>
      <c r="R814" t="s">
        <v>74</v>
      </c>
      <c r="S814" t="s">
        <v>74</v>
      </c>
      <c r="T814" t="s">
        <v>74</v>
      </c>
      <c r="U814" t="s">
        <v>11616</v>
      </c>
      <c r="V814" t="s">
        <v>11617</v>
      </c>
      <c r="W814" t="s">
        <v>11618</v>
      </c>
      <c r="X814" t="s">
        <v>11619</v>
      </c>
      <c r="Y814" t="s">
        <v>11620</v>
      </c>
      <c r="Z814" t="s">
        <v>11621</v>
      </c>
      <c r="AA814" t="s">
        <v>74</v>
      </c>
      <c r="AB814" t="s">
        <v>11622</v>
      </c>
      <c r="AC814" t="s">
        <v>74</v>
      </c>
      <c r="AD814" t="s">
        <v>74</v>
      </c>
      <c r="AE814" t="s">
        <v>74</v>
      </c>
      <c r="AF814" t="s">
        <v>74</v>
      </c>
      <c r="AG814">
        <v>35</v>
      </c>
      <c r="AH814">
        <v>30</v>
      </c>
      <c r="AI814">
        <v>30</v>
      </c>
      <c r="AJ814">
        <v>0</v>
      </c>
      <c r="AK814">
        <v>21</v>
      </c>
      <c r="AL814" t="s">
        <v>8303</v>
      </c>
      <c r="AM814" t="s">
        <v>1813</v>
      </c>
      <c r="AN814" t="s">
        <v>8304</v>
      </c>
      <c r="AO814" t="s">
        <v>8305</v>
      </c>
      <c r="AP814" t="s">
        <v>8306</v>
      </c>
      <c r="AQ814" t="s">
        <v>74</v>
      </c>
      <c r="AR814" t="s">
        <v>8307</v>
      </c>
      <c r="AS814" t="s">
        <v>8308</v>
      </c>
      <c r="AT814" t="s">
        <v>74</v>
      </c>
      <c r="AU814">
        <v>2005</v>
      </c>
      <c r="AV814">
        <v>7</v>
      </c>
      <c r="AW814">
        <v>12</v>
      </c>
      <c r="AX814" t="s">
        <v>74</v>
      </c>
      <c r="AY814" t="s">
        <v>74</v>
      </c>
      <c r="AZ814" t="s">
        <v>74</v>
      </c>
      <c r="BA814" t="s">
        <v>74</v>
      </c>
      <c r="BB814">
        <v>1313</v>
      </c>
      <c r="BC814">
        <v>1319</v>
      </c>
      <c r="BD814" t="s">
        <v>74</v>
      </c>
      <c r="BE814" t="s">
        <v>11623</v>
      </c>
      <c r="BF814" t="str">
        <f>HYPERLINK("http://dx.doi.org/10.1039/b507329b","http://dx.doi.org/10.1039/b507329b")</f>
        <v>http://dx.doi.org/10.1039/b507329b</v>
      </c>
      <c r="BG814" t="s">
        <v>74</v>
      </c>
      <c r="BH814" t="s">
        <v>74</v>
      </c>
      <c r="BI814">
        <v>7</v>
      </c>
      <c r="BJ814" t="s">
        <v>8310</v>
      </c>
      <c r="BK814" t="s">
        <v>95</v>
      </c>
      <c r="BL814" t="s">
        <v>8311</v>
      </c>
      <c r="BM814" t="s">
        <v>11565</v>
      </c>
      <c r="BN814">
        <v>16307089</v>
      </c>
      <c r="BO814" t="s">
        <v>74</v>
      </c>
      <c r="BP814" t="s">
        <v>74</v>
      </c>
      <c r="BQ814" t="s">
        <v>74</v>
      </c>
      <c r="BR814" t="s">
        <v>97</v>
      </c>
      <c r="BS814" t="s">
        <v>11624</v>
      </c>
      <c r="BT814" t="str">
        <f>HYPERLINK("https%3A%2F%2Fwww.webofscience.com%2Fwos%2Fwoscc%2Ffull-record%2FWOS:000233459000027","View Full Record in Web of Science")</f>
        <v>View Full Record in Web of Science</v>
      </c>
    </row>
    <row r="815" spans="1:72" x14ac:dyDescent="0.15">
      <c r="A815" t="s">
        <v>72</v>
      </c>
      <c r="B815" t="s">
        <v>11625</v>
      </c>
      <c r="C815" t="s">
        <v>74</v>
      </c>
      <c r="D815" t="s">
        <v>74</v>
      </c>
      <c r="E815" t="s">
        <v>74</v>
      </c>
      <c r="F815" t="s">
        <v>11625</v>
      </c>
      <c r="G815" t="s">
        <v>74</v>
      </c>
      <c r="H815" t="s">
        <v>74</v>
      </c>
      <c r="I815" t="s">
        <v>11626</v>
      </c>
      <c r="J815" t="s">
        <v>8294</v>
      </c>
      <c r="K815" t="s">
        <v>74</v>
      </c>
      <c r="L815" t="s">
        <v>74</v>
      </c>
      <c r="M815" t="s">
        <v>77</v>
      </c>
      <c r="N815" t="s">
        <v>78</v>
      </c>
      <c r="O815" t="s">
        <v>74</v>
      </c>
      <c r="P815" t="s">
        <v>74</v>
      </c>
      <c r="Q815" t="s">
        <v>74</v>
      </c>
      <c r="R815" t="s">
        <v>74</v>
      </c>
      <c r="S815" t="s">
        <v>74</v>
      </c>
      <c r="T815" t="s">
        <v>74</v>
      </c>
      <c r="U815" t="s">
        <v>11627</v>
      </c>
      <c r="V815" t="s">
        <v>11628</v>
      </c>
      <c r="W815" t="s">
        <v>11629</v>
      </c>
      <c r="X815" t="s">
        <v>1000</v>
      </c>
      <c r="Y815" t="s">
        <v>11630</v>
      </c>
      <c r="Z815" t="s">
        <v>11586</v>
      </c>
      <c r="AA815" t="s">
        <v>74</v>
      </c>
      <c r="AB815" t="s">
        <v>11588</v>
      </c>
      <c r="AC815" t="s">
        <v>74</v>
      </c>
      <c r="AD815" t="s">
        <v>74</v>
      </c>
      <c r="AE815" t="s">
        <v>74</v>
      </c>
      <c r="AF815" t="s">
        <v>74</v>
      </c>
      <c r="AG815">
        <v>19</v>
      </c>
      <c r="AH815">
        <v>17</v>
      </c>
      <c r="AI815">
        <v>18</v>
      </c>
      <c r="AJ815">
        <v>0</v>
      </c>
      <c r="AK815">
        <v>13</v>
      </c>
      <c r="AL815" t="s">
        <v>8303</v>
      </c>
      <c r="AM815" t="s">
        <v>1813</v>
      </c>
      <c r="AN815" t="s">
        <v>8304</v>
      </c>
      <c r="AO815" t="s">
        <v>8305</v>
      </c>
      <c r="AP815" t="s">
        <v>8306</v>
      </c>
      <c r="AQ815" t="s">
        <v>74</v>
      </c>
      <c r="AR815" t="s">
        <v>8307</v>
      </c>
      <c r="AS815" t="s">
        <v>8308</v>
      </c>
      <c r="AT815" t="s">
        <v>74</v>
      </c>
      <c r="AU815">
        <v>2005</v>
      </c>
      <c r="AV815">
        <v>7</v>
      </c>
      <c r="AW815">
        <v>12</v>
      </c>
      <c r="AX815" t="s">
        <v>74</v>
      </c>
      <c r="AY815" t="s">
        <v>74</v>
      </c>
      <c r="AZ815" t="s">
        <v>74</v>
      </c>
      <c r="BA815" t="s">
        <v>74</v>
      </c>
      <c r="BB815">
        <v>1320</v>
      </c>
      <c r="BC815">
        <v>1325</v>
      </c>
      <c r="BD815" t="s">
        <v>74</v>
      </c>
      <c r="BE815" t="s">
        <v>11631</v>
      </c>
      <c r="BF815" t="str">
        <f>HYPERLINK("http://dx.doi.org/10.1039/b507396k","http://dx.doi.org/10.1039/b507396k")</f>
        <v>http://dx.doi.org/10.1039/b507396k</v>
      </c>
      <c r="BG815" t="s">
        <v>74</v>
      </c>
      <c r="BH815" t="s">
        <v>74</v>
      </c>
      <c r="BI815">
        <v>6</v>
      </c>
      <c r="BJ815" t="s">
        <v>8310</v>
      </c>
      <c r="BK815" t="s">
        <v>95</v>
      </c>
      <c r="BL815" t="s">
        <v>8311</v>
      </c>
      <c r="BM815" t="s">
        <v>11565</v>
      </c>
      <c r="BN815">
        <v>16307090</v>
      </c>
      <c r="BO815" t="s">
        <v>74</v>
      </c>
      <c r="BP815" t="s">
        <v>74</v>
      </c>
      <c r="BQ815" t="s">
        <v>74</v>
      </c>
      <c r="BR815" t="s">
        <v>97</v>
      </c>
      <c r="BS815" t="s">
        <v>11632</v>
      </c>
      <c r="BT815" t="str">
        <f>HYPERLINK("https%3A%2F%2Fwww.webofscience.com%2Fwos%2Fwoscc%2Ffull-record%2FWOS:000233459000028","View Full Record in Web of Science")</f>
        <v>View Full Record in Web of Science</v>
      </c>
    </row>
    <row r="816" spans="1:72" x14ac:dyDescent="0.15">
      <c r="A816" t="s">
        <v>72</v>
      </c>
      <c r="B816" t="s">
        <v>11633</v>
      </c>
      <c r="C816" t="s">
        <v>74</v>
      </c>
      <c r="D816" t="s">
        <v>74</v>
      </c>
      <c r="E816" t="s">
        <v>74</v>
      </c>
      <c r="F816" t="s">
        <v>11633</v>
      </c>
      <c r="G816" t="s">
        <v>74</v>
      </c>
      <c r="H816" t="s">
        <v>74</v>
      </c>
      <c r="I816" t="s">
        <v>11634</v>
      </c>
      <c r="J816" t="s">
        <v>8294</v>
      </c>
      <c r="K816" t="s">
        <v>74</v>
      </c>
      <c r="L816" t="s">
        <v>74</v>
      </c>
      <c r="M816" t="s">
        <v>77</v>
      </c>
      <c r="N816" t="s">
        <v>78</v>
      </c>
      <c r="O816" t="s">
        <v>74</v>
      </c>
      <c r="P816" t="s">
        <v>74</v>
      </c>
      <c r="Q816" t="s">
        <v>74</v>
      </c>
      <c r="R816" t="s">
        <v>74</v>
      </c>
      <c r="S816" t="s">
        <v>74</v>
      </c>
      <c r="T816" t="s">
        <v>74</v>
      </c>
      <c r="U816" t="s">
        <v>11635</v>
      </c>
      <c r="V816" t="s">
        <v>11636</v>
      </c>
      <c r="W816" t="s">
        <v>11637</v>
      </c>
      <c r="X816" t="s">
        <v>11638</v>
      </c>
      <c r="Y816" t="s">
        <v>11639</v>
      </c>
      <c r="Z816" t="s">
        <v>2375</v>
      </c>
      <c r="AA816" t="s">
        <v>11640</v>
      </c>
      <c r="AB816" t="s">
        <v>11641</v>
      </c>
      <c r="AC816" t="s">
        <v>74</v>
      </c>
      <c r="AD816" t="s">
        <v>74</v>
      </c>
      <c r="AE816" t="s">
        <v>74</v>
      </c>
      <c r="AF816" t="s">
        <v>74</v>
      </c>
      <c r="AG816">
        <v>25</v>
      </c>
      <c r="AH816">
        <v>14</v>
      </c>
      <c r="AI816">
        <v>17</v>
      </c>
      <c r="AJ816">
        <v>0</v>
      </c>
      <c r="AK816">
        <v>7</v>
      </c>
      <c r="AL816" t="s">
        <v>8303</v>
      </c>
      <c r="AM816" t="s">
        <v>1813</v>
      </c>
      <c r="AN816" t="s">
        <v>8304</v>
      </c>
      <c r="AO816" t="s">
        <v>8305</v>
      </c>
      <c r="AP816" t="s">
        <v>8306</v>
      </c>
      <c r="AQ816" t="s">
        <v>74</v>
      </c>
      <c r="AR816" t="s">
        <v>8307</v>
      </c>
      <c r="AS816" t="s">
        <v>8308</v>
      </c>
      <c r="AT816" t="s">
        <v>74</v>
      </c>
      <c r="AU816">
        <v>2005</v>
      </c>
      <c r="AV816">
        <v>7</v>
      </c>
      <c r="AW816">
        <v>12</v>
      </c>
      <c r="AX816" t="s">
        <v>74</v>
      </c>
      <c r="AY816" t="s">
        <v>74</v>
      </c>
      <c r="AZ816" t="s">
        <v>74</v>
      </c>
      <c r="BA816" t="s">
        <v>74</v>
      </c>
      <c r="BB816">
        <v>1326</v>
      </c>
      <c r="BC816">
        <v>1331</v>
      </c>
      <c r="BD816" t="s">
        <v>74</v>
      </c>
      <c r="BE816" t="s">
        <v>11642</v>
      </c>
      <c r="BF816" t="str">
        <f>HYPERLINK("http://dx.doi.org/10.1039/b507331f","http://dx.doi.org/10.1039/b507331f")</f>
        <v>http://dx.doi.org/10.1039/b507331f</v>
      </c>
      <c r="BG816" t="s">
        <v>74</v>
      </c>
      <c r="BH816" t="s">
        <v>74</v>
      </c>
      <c r="BI816">
        <v>6</v>
      </c>
      <c r="BJ816" t="s">
        <v>8310</v>
      </c>
      <c r="BK816" t="s">
        <v>95</v>
      </c>
      <c r="BL816" t="s">
        <v>8311</v>
      </c>
      <c r="BM816" t="s">
        <v>11565</v>
      </c>
      <c r="BN816">
        <v>16307091</v>
      </c>
      <c r="BO816" t="s">
        <v>74</v>
      </c>
      <c r="BP816" t="s">
        <v>74</v>
      </c>
      <c r="BQ816" t="s">
        <v>74</v>
      </c>
      <c r="BR816" t="s">
        <v>97</v>
      </c>
      <c r="BS816" t="s">
        <v>11643</v>
      </c>
      <c r="BT816" t="str">
        <f>HYPERLINK("https%3A%2F%2Fwww.webofscience.com%2Fwos%2Fwoscc%2Ffull-record%2FWOS:000233459000029","View Full Record in Web of Science")</f>
        <v>View Full Record in Web of Science</v>
      </c>
    </row>
    <row r="817" spans="1:72" x14ac:dyDescent="0.15">
      <c r="A817" t="s">
        <v>72</v>
      </c>
      <c r="B817" t="s">
        <v>11644</v>
      </c>
      <c r="C817" t="s">
        <v>74</v>
      </c>
      <c r="D817" t="s">
        <v>74</v>
      </c>
      <c r="E817" t="s">
        <v>74</v>
      </c>
      <c r="F817" t="s">
        <v>11644</v>
      </c>
      <c r="G817" t="s">
        <v>74</v>
      </c>
      <c r="H817" t="s">
        <v>74</v>
      </c>
      <c r="I817" t="s">
        <v>11645</v>
      </c>
      <c r="J817" t="s">
        <v>8294</v>
      </c>
      <c r="K817" t="s">
        <v>74</v>
      </c>
      <c r="L817" t="s">
        <v>74</v>
      </c>
      <c r="M817" t="s">
        <v>77</v>
      </c>
      <c r="N817" t="s">
        <v>78</v>
      </c>
      <c r="O817" t="s">
        <v>74</v>
      </c>
      <c r="P817" t="s">
        <v>74</v>
      </c>
      <c r="Q817" t="s">
        <v>74</v>
      </c>
      <c r="R817" t="s">
        <v>74</v>
      </c>
      <c r="S817" t="s">
        <v>74</v>
      </c>
      <c r="T817" t="s">
        <v>74</v>
      </c>
      <c r="U817" t="s">
        <v>11646</v>
      </c>
      <c r="V817" t="s">
        <v>11647</v>
      </c>
      <c r="W817" t="s">
        <v>11648</v>
      </c>
      <c r="X817" t="s">
        <v>11649</v>
      </c>
      <c r="Y817" t="s">
        <v>11597</v>
      </c>
      <c r="Z817" t="s">
        <v>11650</v>
      </c>
      <c r="AA817" t="s">
        <v>74</v>
      </c>
      <c r="AB817" t="s">
        <v>74</v>
      </c>
      <c r="AC817" t="s">
        <v>74</v>
      </c>
      <c r="AD817" t="s">
        <v>74</v>
      </c>
      <c r="AE817" t="s">
        <v>74</v>
      </c>
      <c r="AF817" t="s">
        <v>74</v>
      </c>
      <c r="AG817">
        <v>13</v>
      </c>
      <c r="AH817">
        <v>4</v>
      </c>
      <c r="AI817">
        <v>5</v>
      </c>
      <c r="AJ817">
        <v>0</v>
      </c>
      <c r="AK817">
        <v>3</v>
      </c>
      <c r="AL817" t="s">
        <v>8303</v>
      </c>
      <c r="AM817" t="s">
        <v>1813</v>
      </c>
      <c r="AN817" t="s">
        <v>8304</v>
      </c>
      <c r="AO817" t="s">
        <v>8305</v>
      </c>
      <c r="AP817" t="s">
        <v>8306</v>
      </c>
      <c r="AQ817" t="s">
        <v>74</v>
      </c>
      <c r="AR817" t="s">
        <v>8307</v>
      </c>
      <c r="AS817" t="s">
        <v>8308</v>
      </c>
      <c r="AT817" t="s">
        <v>74</v>
      </c>
      <c r="AU817">
        <v>2005</v>
      </c>
      <c r="AV817">
        <v>7</v>
      </c>
      <c r="AW817">
        <v>12</v>
      </c>
      <c r="AX817" t="s">
        <v>74</v>
      </c>
      <c r="AY817" t="s">
        <v>74</v>
      </c>
      <c r="AZ817" t="s">
        <v>74</v>
      </c>
      <c r="BA817" t="s">
        <v>74</v>
      </c>
      <c r="BB817">
        <v>1332</v>
      </c>
      <c r="BC817">
        <v>1334</v>
      </c>
      <c r="BD817" t="s">
        <v>74</v>
      </c>
      <c r="BE817" t="s">
        <v>11651</v>
      </c>
      <c r="BF817" t="str">
        <f>HYPERLINK("http://dx.doi.org/10.1039/b507319g","http://dx.doi.org/10.1039/b507319g")</f>
        <v>http://dx.doi.org/10.1039/b507319g</v>
      </c>
      <c r="BG817" t="s">
        <v>74</v>
      </c>
      <c r="BH817" t="s">
        <v>74</v>
      </c>
      <c r="BI817">
        <v>3</v>
      </c>
      <c r="BJ817" t="s">
        <v>8310</v>
      </c>
      <c r="BK817" t="s">
        <v>95</v>
      </c>
      <c r="BL817" t="s">
        <v>8311</v>
      </c>
      <c r="BM817" t="s">
        <v>11565</v>
      </c>
      <c r="BN817">
        <v>16307092</v>
      </c>
      <c r="BO817" t="s">
        <v>74</v>
      </c>
      <c r="BP817" t="s">
        <v>74</v>
      </c>
      <c r="BQ817" t="s">
        <v>74</v>
      </c>
      <c r="BR817" t="s">
        <v>97</v>
      </c>
      <c r="BS817" t="s">
        <v>11652</v>
      </c>
      <c r="BT817" t="str">
        <f>HYPERLINK("https%3A%2F%2Fwww.webofscience.com%2Fwos%2Fwoscc%2Ffull-record%2FWOS:000233459000030","View Full Record in Web of Science")</f>
        <v>View Full Record in Web of Science</v>
      </c>
    </row>
    <row r="818" spans="1:72" x14ac:dyDescent="0.15">
      <c r="A818" t="s">
        <v>72</v>
      </c>
      <c r="B818" t="s">
        <v>11653</v>
      </c>
      <c r="C818" t="s">
        <v>74</v>
      </c>
      <c r="D818" t="s">
        <v>74</v>
      </c>
      <c r="E818" t="s">
        <v>74</v>
      </c>
      <c r="F818" t="s">
        <v>11653</v>
      </c>
      <c r="G818" t="s">
        <v>74</v>
      </c>
      <c r="H818" t="s">
        <v>74</v>
      </c>
      <c r="I818" t="s">
        <v>11654</v>
      </c>
      <c r="J818" t="s">
        <v>11655</v>
      </c>
      <c r="K818" t="s">
        <v>74</v>
      </c>
      <c r="L818" t="s">
        <v>74</v>
      </c>
      <c r="M818" t="s">
        <v>77</v>
      </c>
      <c r="N818" t="s">
        <v>78</v>
      </c>
      <c r="O818" t="s">
        <v>74</v>
      </c>
      <c r="P818" t="s">
        <v>74</v>
      </c>
      <c r="Q818" t="s">
        <v>74</v>
      </c>
      <c r="R818" t="s">
        <v>74</v>
      </c>
      <c r="S818" t="s">
        <v>74</v>
      </c>
      <c r="T818" t="s">
        <v>11656</v>
      </c>
      <c r="U818" t="s">
        <v>11657</v>
      </c>
      <c r="V818" t="s">
        <v>11658</v>
      </c>
      <c r="W818" t="s">
        <v>11659</v>
      </c>
      <c r="X818" t="s">
        <v>74</v>
      </c>
      <c r="Y818" t="s">
        <v>11660</v>
      </c>
      <c r="Z818" t="s">
        <v>11661</v>
      </c>
      <c r="AA818" t="s">
        <v>74</v>
      </c>
      <c r="AB818" t="s">
        <v>11662</v>
      </c>
      <c r="AC818" t="s">
        <v>74</v>
      </c>
      <c r="AD818" t="s">
        <v>74</v>
      </c>
      <c r="AE818" t="s">
        <v>74</v>
      </c>
      <c r="AF818" t="s">
        <v>74</v>
      </c>
      <c r="AG818">
        <v>13</v>
      </c>
      <c r="AH818">
        <v>19</v>
      </c>
      <c r="AI818">
        <v>21</v>
      </c>
      <c r="AJ818">
        <v>0</v>
      </c>
      <c r="AK818">
        <v>6</v>
      </c>
      <c r="AL818" t="s">
        <v>2232</v>
      </c>
      <c r="AM818" t="s">
        <v>256</v>
      </c>
      <c r="AN818" t="s">
        <v>2233</v>
      </c>
      <c r="AO818" t="s">
        <v>11663</v>
      </c>
      <c r="AP818" t="s">
        <v>11664</v>
      </c>
      <c r="AQ818" t="s">
        <v>74</v>
      </c>
      <c r="AR818" t="s">
        <v>11665</v>
      </c>
      <c r="AS818" t="s">
        <v>11666</v>
      </c>
      <c r="AT818" t="s">
        <v>74</v>
      </c>
      <c r="AU818">
        <v>2005</v>
      </c>
      <c r="AV818">
        <v>83</v>
      </c>
      <c r="AW818">
        <v>1</v>
      </c>
      <c r="AX818" t="s">
        <v>74</v>
      </c>
      <c r="AY818" t="s">
        <v>74</v>
      </c>
      <c r="AZ818" t="s">
        <v>74</v>
      </c>
      <c r="BA818" t="s">
        <v>74</v>
      </c>
      <c r="BB818">
        <v>1</v>
      </c>
      <c r="BC818">
        <v>7</v>
      </c>
      <c r="BD818" t="s">
        <v>74</v>
      </c>
      <c r="BE818" t="s">
        <v>11667</v>
      </c>
      <c r="BF818" t="str">
        <f>HYPERLINK("http://dx.doi.org/10.1016/j.jenvrad.2005.02.005","http://dx.doi.org/10.1016/j.jenvrad.2005.02.005")</f>
        <v>http://dx.doi.org/10.1016/j.jenvrad.2005.02.005</v>
      </c>
      <c r="BG818" t="s">
        <v>74</v>
      </c>
      <c r="BH818" t="s">
        <v>74</v>
      </c>
      <c r="BI818">
        <v>7</v>
      </c>
      <c r="BJ818" t="s">
        <v>1402</v>
      </c>
      <c r="BK818" t="s">
        <v>95</v>
      </c>
      <c r="BL818" t="s">
        <v>219</v>
      </c>
      <c r="BM818" t="s">
        <v>11668</v>
      </c>
      <c r="BN818">
        <v>15882915</v>
      </c>
      <c r="BO818" t="s">
        <v>74</v>
      </c>
      <c r="BP818" t="s">
        <v>74</v>
      </c>
      <c r="BQ818" t="s">
        <v>74</v>
      </c>
      <c r="BR818" t="s">
        <v>97</v>
      </c>
      <c r="BS818" t="s">
        <v>11669</v>
      </c>
      <c r="BT818" t="str">
        <f>HYPERLINK("https%3A%2F%2Fwww.webofscience.com%2Fwos%2Fwoscc%2Ffull-record%2FWOS:000230575400001","View Full Record in Web of Science")</f>
        <v>View Full Record in Web of Science</v>
      </c>
    </row>
    <row r="819" spans="1:72" x14ac:dyDescent="0.15">
      <c r="A819" t="s">
        <v>72</v>
      </c>
      <c r="B819" t="s">
        <v>11670</v>
      </c>
      <c r="C819" t="s">
        <v>74</v>
      </c>
      <c r="D819" t="s">
        <v>74</v>
      </c>
      <c r="E819" t="s">
        <v>74</v>
      </c>
      <c r="F819" t="s">
        <v>11670</v>
      </c>
      <c r="G819" t="s">
        <v>74</v>
      </c>
      <c r="H819" t="s">
        <v>74</v>
      </c>
      <c r="I819" t="s">
        <v>11671</v>
      </c>
      <c r="J819" t="s">
        <v>11672</v>
      </c>
      <c r="K819" t="s">
        <v>74</v>
      </c>
      <c r="L819" t="s">
        <v>74</v>
      </c>
      <c r="M819" t="s">
        <v>77</v>
      </c>
      <c r="N819" t="s">
        <v>78</v>
      </c>
      <c r="O819" t="s">
        <v>74</v>
      </c>
      <c r="P819" t="s">
        <v>74</v>
      </c>
      <c r="Q819" t="s">
        <v>74</v>
      </c>
      <c r="R819" t="s">
        <v>74</v>
      </c>
      <c r="S819" t="s">
        <v>74</v>
      </c>
      <c r="T819" t="s">
        <v>11673</v>
      </c>
      <c r="U819" t="s">
        <v>11674</v>
      </c>
      <c r="V819" t="s">
        <v>11675</v>
      </c>
      <c r="W819" t="s">
        <v>11676</v>
      </c>
      <c r="X819" t="s">
        <v>11677</v>
      </c>
      <c r="Y819" t="s">
        <v>11678</v>
      </c>
      <c r="Z819" t="s">
        <v>11679</v>
      </c>
      <c r="AA819" t="s">
        <v>74</v>
      </c>
      <c r="AB819" t="s">
        <v>74</v>
      </c>
      <c r="AC819" t="s">
        <v>74</v>
      </c>
      <c r="AD819" t="s">
        <v>74</v>
      </c>
      <c r="AE819" t="s">
        <v>74</v>
      </c>
      <c r="AF819" t="s">
        <v>74</v>
      </c>
      <c r="AG819">
        <v>36</v>
      </c>
      <c r="AH819">
        <v>15</v>
      </c>
      <c r="AI819">
        <v>19</v>
      </c>
      <c r="AJ819">
        <v>0</v>
      </c>
      <c r="AK819">
        <v>7</v>
      </c>
      <c r="AL819" t="s">
        <v>2841</v>
      </c>
      <c r="AM819" t="s">
        <v>2842</v>
      </c>
      <c r="AN819" t="s">
        <v>2843</v>
      </c>
      <c r="AO819" t="s">
        <v>11680</v>
      </c>
      <c r="AP819" t="s">
        <v>11681</v>
      </c>
      <c r="AQ819" t="s">
        <v>74</v>
      </c>
      <c r="AR819" t="s">
        <v>11682</v>
      </c>
      <c r="AS819" t="s">
        <v>11683</v>
      </c>
      <c r="AT819" t="s">
        <v>74</v>
      </c>
      <c r="AU819">
        <v>2005</v>
      </c>
      <c r="AV819">
        <v>17</v>
      </c>
      <c r="AW819">
        <v>4</v>
      </c>
      <c r="AX819" t="s">
        <v>74</v>
      </c>
      <c r="AY819" t="s">
        <v>74</v>
      </c>
      <c r="AZ819" t="s">
        <v>74</v>
      </c>
      <c r="BA819" t="s">
        <v>74</v>
      </c>
      <c r="BB819">
        <v>667</v>
      </c>
      <c r="BC819">
        <v>671</v>
      </c>
      <c r="BD819" t="s">
        <v>74</v>
      </c>
      <c r="BE819" t="s">
        <v>74</v>
      </c>
      <c r="BF819" t="s">
        <v>74</v>
      </c>
      <c r="BG819" t="s">
        <v>74</v>
      </c>
      <c r="BH819" t="s">
        <v>74</v>
      </c>
      <c r="BI819">
        <v>5</v>
      </c>
      <c r="BJ819" t="s">
        <v>1402</v>
      </c>
      <c r="BK819" t="s">
        <v>95</v>
      </c>
      <c r="BL819" t="s">
        <v>219</v>
      </c>
      <c r="BM819" t="s">
        <v>11684</v>
      </c>
      <c r="BN819">
        <v>16158602</v>
      </c>
      <c r="BO819" t="s">
        <v>74</v>
      </c>
      <c r="BP819" t="s">
        <v>74</v>
      </c>
      <c r="BQ819" t="s">
        <v>74</v>
      </c>
      <c r="BR819" t="s">
        <v>97</v>
      </c>
      <c r="BS819" t="s">
        <v>11685</v>
      </c>
      <c r="BT819" t="str">
        <f>HYPERLINK("https%3A%2F%2Fwww.webofscience.com%2Fwos%2Fwoscc%2Ffull-record%2FWOS:000230436100030","View Full Record in Web of Science")</f>
        <v>View Full Record in Web of Science</v>
      </c>
    </row>
    <row r="820" spans="1:72" x14ac:dyDescent="0.15">
      <c r="A820" t="s">
        <v>72</v>
      </c>
      <c r="B820" t="s">
        <v>11686</v>
      </c>
      <c r="C820" t="s">
        <v>74</v>
      </c>
      <c r="D820" t="s">
        <v>74</v>
      </c>
      <c r="E820" t="s">
        <v>74</v>
      </c>
      <c r="F820" t="s">
        <v>11686</v>
      </c>
      <c r="G820" t="s">
        <v>74</v>
      </c>
      <c r="H820" t="s">
        <v>74</v>
      </c>
      <c r="I820" t="s">
        <v>11687</v>
      </c>
      <c r="J820" t="s">
        <v>11672</v>
      </c>
      <c r="K820" t="s">
        <v>74</v>
      </c>
      <c r="L820" t="s">
        <v>74</v>
      </c>
      <c r="M820" t="s">
        <v>77</v>
      </c>
      <c r="N820" t="s">
        <v>78</v>
      </c>
      <c r="O820" t="s">
        <v>74</v>
      </c>
      <c r="P820" t="s">
        <v>74</v>
      </c>
      <c r="Q820" t="s">
        <v>74</v>
      </c>
      <c r="R820" t="s">
        <v>74</v>
      </c>
      <c r="S820" t="s">
        <v>74</v>
      </c>
      <c r="T820" t="s">
        <v>11688</v>
      </c>
      <c r="U820" t="s">
        <v>11689</v>
      </c>
      <c r="V820" t="s">
        <v>11690</v>
      </c>
      <c r="W820" t="s">
        <v>11691</v>
      </c>
      <c r="X820" t="s">
        <v>11692</v>
      </c>
      <c r="Y820" t="s">
        <v>11693</v>
      </c>
      <c r="Z820" t="s">
        <v>1412</v>
      </c>
      <c r="AA820" t="s">
        <v>11694</v>
      </c>
      <c r="AB820" t="s">
        <v>74</v>
      </c>
      <c r="AC820" t="s">
        <v>74</v>
      </c>
      <c r="AD820" t="s">
        <v>74</v>
      </c>
      <c r="AE820" t="s">
        <v>74</v>
      </c>
      <c r="AF820" t="s">
        <v>74</v>
      </c>
      <c r="AG820">
        <v>46</v>
      </c>
      <c r="AH820">
        <v>15</v>
      </c>
      <c r="AI820">
        <v>21</v>
      </c>
      <c r="AJ820">
        <v>2</v>
      </c>
      <c r="AK820">
        <v>25</v>
      </c>
      <c r="AL820" t="s">
        <v>2841</v>
      </c>
      <c r="AM820" t="s">
        <v>2842</v>
      </c>
      <c r="AN820" t="s">
        <v>2843</v>
      </c>
      <c r="AO820" t="s">
        <v>11680</v>
      </c>
      <c r="AP820" t="s">
        <v>11681</v>
      </c>
      <c r="AQ820" t="s">
        <v>74</v>
      </c>
      <c r="AR820" t="s">
        <v>11682</v>
      </c>
      <c r="AS820" t="s">
        <v>11683</v>
      </c>
      <c r="AT820" t="s">
        <v>74</v>
      </c>
      <c r="AU820">
        <v>2005</v>
      </c>
      <c r="AV820">
        <v>17</v>
      </c>
      <c r="AW820">
        <v>6</v>
      </c>
      <c r="AX820" t="s">
        <v>74</v>
      </c>
      <c r="AY820" t="s">
        <v>74</v>
      </c>
      <c r="AZ820" t="s">
        <v>74</v>
      </c>
      <c r="BA820" t="s">
        <v>74</v>
      </c>
      <c r="BB820">
        <v>899</v>
      </c>
      <c r="BC820">
        <v>905</v>
      </c>
      <c r="BD820" t="s">
        <v>74</v>
      </c>
      <c r="BE820" t="s">
        <v>74</v>
      </c>
      <c r="BF820" t="s">
        <v>74</v>
      </c>
      <c r="BG820" t="s">
        <v>74</v>
      </c>
      <c r="BH820" t="s">
        <v>74</v>
      </c>
      <c r="BI820">
        <v>7</v>
      </c>
      <c r="BJ820" t="s">
        <v>1402</v>
      </c>
      <c r="BK820" t="s">
        <v>95</v>
      </c>
      <c r="BL820" t="s">
        <v>219</v>
      </c>
      <c r="BM820" t="s">
        <v>11695</v>
      </c>
      <c r="BN820">
        <v>16465874</v>
      </c>
      <c r="BO820" t="s">
        <v>74</v>
      </c>
      <c r="BP820" t="s">
        <v>74</v>
      </c>
      <c r="BQ820" t="s">
        <v>74</v>
      </c>
      <c r="BR820" t="s">
        <v>97</v>
      </c>
      <c r="BS820" t="s">
        <v>11696</v>
      </c>
      <c r="BT820" t="str">
        <f>HYPERLINK("https%3A%2F%2Fwww.webofscience.com%2Fwos%2Fwoscc%2Ffull-record%2FWOS:000233402200004","View Full Record in Web of Science")</f>
        <v>View Full Record in Web of Science</v>
      </c>
    </row>
    <row r="821" spans="1:72" x14ac:dyDescent="0.15">
      <c r="A821" t="s">
        <v>72</v>
      </c>
      <c r="B821" t="s">
        <v>11697</v>
      </c>
      <c r="C821" t="s">
        <v>74</v>
      </c>
      <c r="D821" t="s">
        <v>74</v>
      </c>
      <c r="E821" t="s">
        <v>74</v>
      </c>
      <c r="F821" t="s">
        <v>11698</v>
      </c>
      <c r="G821" t="s">
        <v>74</v>
      </c>
      <c r="H821" t="s">
        <v>74</v>
      </c>
      <c r="I821" t="s">
        <v>11699</v>
      </c>
      <c r="J821" t="s">
        <v>11700</v>
      </c>
      <c r="K821" t="s">
        <v>74</v>
      </c>
      <c r="L821" t="s">
        <v>74</v>
      </c>
      <c r="M821" t="s">
        <v>11701</v>
      </c>
      <c r="N821" t="s">
        <v>365</v>
      </c>
      <c r="O821" t="s">
        <v>74</v>
      </c>
      <c r="P821" t="s">
        <v>74</v>
      </c>
      <c r="Q821" t="s">
        <v>74</v>
      </c>
      <c r="R821" t="s">
        <v>74</v>
      </c>
      <c r="S821" t="s">
        <v>74</v>
      </c>
      <c r="T821" t="s">
        <v>11702</v>
      </c>
      <c r="U821" t="s">
        <v>11703</v>
      </c>
      <c r="V821" t="s">
        <v>11704</v>
      </c>
      <c r="W821" t="s">
        <v>11705</v>
      </c>
      <c r="X821" t="s">
        <v>11706</v>
      </c>
      <c r="Y821" t="s">
        <v>11707</v>
      </c>
      <c r="Z821" t="s">
        <v>74</v>
      </c>
      <c r="AA821" t="s">
        <v>11708</v>
      </c>
      <c r="AB821" t="s">
        <v>11709</v>
      </c>
      <c r="AC821" t="s">
        <v>74</v>
      </c>
      <c r="AD821" t="s">
        <v>74</v>
      </c>
      <c r="AE821" t="s">
        <v>74</v>
      </c>
      <c r="AF821" t="s">
        <v>74</v>
      </c>
      <c r="AG821">
        <v>141</v>
      </c>
      <c r="AH821">
        <v>13</v>
      </c>
      <c r="AI821">
        <v>13</v>
      </c>
      <c r="AJ821">
        <v>0</v>
      </c>
      <c r="AK821">
        <v>0</v>
      </c>
      <c r="AL821" t="s">
        <v>11710</v>
      </c>
      <c r="AM821" t="s">
        <v>2899</v>
      </c>
      <c r="AN821" t="s">
        <v>11711</v>
      </c>
      <c r="AO821" t="s">
        <v>11712</v>
      </c>
      <c r="AP821" t="s">
        <v>11713</v>
      </c>
      <c r="AQ821" t="s">
        <v>74</v>
      </c>
      <c r="AR821" t="s">
        <v>11714</v>
      </c>
      <c r="AS821" t="s">
        <v>11715</v>
      </c>
      <c r="AT821" t="s">
        <v>74</v>
      </c>
      <c r="AU821">
        <v>2005</v>
      </c>
      <c r="AV821">
        <v>114</v>
      </c>
      <c r="AW821">
        <v>2</v>
      </c>
      <c r="AX821" t="s">
        <v>74</v>
      </c>
      <c r="AY821" t="s">
        <v>74</v>
      </c>
      <c r="AZ821" t="s">
        <v>511</v>
      </c>
      <c r="BA821" t="s">
        <v>74</v>
      </c>
      <c r="BB821">
        <v>174</v>
      </c>
      <c r="BC821">
        <v>193</v>
      </c>
      <c r="BD821" t="s">
        <v>74</v>
      </c>
      <c r="BE821" t="s">
        <v>74</v>
      </c>
      <c r="BF821" t="s">
        <v>74</v>
      </c>
      <c r="BG821" t="s">
        <v>74</v>
      </c>
      <c r="BH821" t="s">
        <v>74</v>
      </c>
      <c r="BI821">
        <v>20</v>
      </c>
      <c r="BJ821" t="s">
        <v>11716</v>
      </c>
      <c r="BK821" t="s">
        <v>3249</v>
      </c>
      <c r="BL821" t="s">
        <v>11717</v>
      </c>
      <c r="BM821" t="s">
        <v>11718</v>
      </c>
      <c r="BN821" t="s">
        <v>74</v>
      </c>
      <c r="BO821" t="s">
        <v>74</v>
      </c>
      <c r="BP821" t="s">
        <v>74</v>
      </c>
      <c r="BQ821" t="s">
        <v>74</v>
      </c>
      <c r="BR821" t="s">
        <v>97</v>
      </c>
      <c r="BS821" t="s">
        <v>11719</v>
      </c>
      <c r="BT821" t="str">
        <f>HYPERLINK("https%3A%2F%2Fwww.webofscience.com%2Fwos%2Fwoscc%2Ffull-record%2FWOS:000446244000007","View Full Record in Web of Science")</f>
        <v>View Full Record in Web of Science</v>
      </c>
    </row>
    <row r="822" spans="1:72" x14ac:dyDescent="0.15">
      <c r="A822" t="s">
        <v>72</v>
      </c>
      <c r="B822" t="s">
        <v>11720</v>
      </c>
      <c r="C822" t="s">
        <v>74</v>
      </c>
      <c r="D822" t="s">
        <v>74</v>
      </c>
      <c r="E822" t="s">
        <v>74</v>
      </c>
      <c r="F822" t="s">
        <v>11720</v>
      </c>
      <c r="G822" t="s">
        <v>74</v>
      </c>
      <c r="H822" t="s">
        <v>74</v>
      </c>
      <c r="I822" t="s">
        <v>11721</v>
      </c>
      <c r="J822" t="s">
        <v>11722</v>
      </c>
      <c r="K822" t="s">
        <v>74</v>
      </c>
      <c r="L822" t="s">
        <v>74</v>
      </c>
      <c r="M822" t="s">
        <v>77</v>
      </c>
      <c r="N822" t="s">
        <v>78</v>
      </c>
      <c r="O822" t="s">
        <v>74</v>
      </c>
      <c r="P822" t="s">
        <v>74</v>
      </c>
      <c r="Q822" t="s">
        <v>74</v>
      </c>
      <c r="R822" t="s">
        <v>74</v>
      </c>
      <c r="S822" t="s">
        <v>74</v>
      </c>
      <c r="T822" t="s">
        <v>74</v>
      </c>
      <c r="U822" t="s">
        <v>11723</v>
      </c>
      <c r="V822" t="s">
        <v>11724</v>
      </c>
      <c r="W822" t="s">
        <v>11725</v>
      </c>
      <c r="X822" t="s">
        <v>11726</v>
      </c>
      <c r="Y822" t="s">
        <v>11727</v>
      </c>
      <c r="Z822" t="s">
        <v>11728</v>
      </c>
      <c r="AA822" t="s">
        <v>11729</v>
      </c>
      <c r="AB822" t="s">
        <v>11730</v>
      </c>
      <c r="AC822" t="s">
        <v>74</v>
      </c>
      <c r="AD822" t="s">
        <v>74</v>
      </c>
      <c r="AE822" t="s">
        <v>74</v>
      </c>
      <c r="AF822" t="s">
        <v>74</v>
      </c>
      <c r="AG822">
        <v>36</v>
      </c>
      <c r="AH822">
        <v>27</v>
      </c>
      <c r="AI822">
        <v>28</v>
      </c>
      <c r="AJ822">
        <v>0</v>
      </c>
      <c r="AK822">
        <v>8</v>
      </c>
      <c r="AL822" t="s">
        <v>212</v>
      </c>
      <c r="AM822" t="s">
        <v>1813</v>
      </c>
      <c r="AN822" t="s">
        <v>11731</v>
      </c>
      <c r="AO822" t="s">
        <v>11732</v>
      </c>
      <c r="AP822" t="s">
        <v>11733</v>
      </c>
      <c r="AQ822" t="s">
        <v>74</v>
      </c>
      <c r="AR822" t="s">
        <v>11734</v>
      </c>
      <c r="AS822" t="s">
        <v>11735</v>
      </c>
      <c r="AT822" t="s">
        <v>74</v>
      </c>
      <c r="AU822">
        <v>2005</v>
      </c>
      <c r="AV822">
        <v>51</v>
      </c>
      <c r="AW822">
        <v>172</v>
      </c>
      <c r="AX822" t="s">
        <v>74</v>
      </c>
      <c r="AY822" t="s">
        <v>74</v>
      </c>
      <c r="AZ822" t="s">
        <v>74</v>
      </c>
      <c r="BA822" t="s">
        <v>74</v>
      </c>
      <c r="BB822">
        <v>75</v>
      </c>
      <c r="BC822">
        <v>84</v>
      </c>
      <c r="BD822" t="s">
        <v>74</v>
      </c>
      <c r="BE822" t="s">
        <v>11736</v>
      </c>
      <c r="BF822" t="str">
        <f>HYPERLINK("http://dx.doi.org/10.3189/172756505781829511","http://dx.doi.org/10.3189/172756505781829511")</f>
        <v>http://dx.doi.org/10.3189/172756505781829511</v>
      </c>
      <c r="BG822" t="s">
        <v>74</v>
      </c>
      <c r="BH822" t="s">
        <v>74</v>
      </c>
      <c r="BI822">
        <v>10</v>
      </c>
      <c r="BJ822" t="s">
        <v>242</v>
      </c>
      <c r="BK822" t="s">
        <v>95</v>
      </c>
      <c r="BL822" t="s">
        <v>243</v>
      </c>
      <c r="BM822" t="s">
        <v>11737</v>
      </c>
      <c r="BN822" t="s">
        <v>74</v>
      </c>
      <c r="BO822" t="s">
        <v>539</v>
      </c>
      <c r="BP822" t="s">
        <v>74</v>
      </c>
      <c r="BQ822" t="s">
        <v>74</v>
      </c>
      <c r="BR822" t="s">
        <v>97</v>
      </c>
      <c r="BS822" t="s">
        <v>11738</v>
      </c>
      <c r="BT822" t="str">
        <f>HYPERLINK("https%3A%2F%2Fwww.webofscience.com%2Fwos%2Fwoscc%2Ffull-record%2FWOS:000233397200007","View Full Record in Web of Science")</f>
        <v>View Full Record in Web of Science</v>
      </c>
    </row>
    <row r="823" spans="1:72" x14ac:dyDescent="0.15">
      <c r="A823" t="s">
        <v>72</v>
      </c>
      <c r="B823" t="s">
        <v>11739</v>
      </c>
      <c r="C823" t="s">
        <v>74</v>
      </c>
      <c r="D823" t="s">
        <v>74</v>
      </c>
      <c r="E823" t="s">
        <v>74</v>
      </c>
      <c r="F823" t="s">
        <v>11739</v>
      </c>
      <c r="G823" t="s">
        <v>74</v>
      </c>
      <c r="H823" t="s">
        <v>74</v>
      </c>
      <c r="I823" t="s">
        <v>11740</v>
      </c>
      <c r="J823" t="s">
        <v>11722</v>
      </c>
      <c r="K823" t="s">
        <v>74</v>
      </c>
      <c r="L823" t="s">
        <v>74</v>
      </c>
      <c r="M823" t="s">
        <v>77</v>
      </c>
      <c r="N823" t="s">
        <v>78</v>
      </c>
      <c r="O823" t="s">
        <v>74</v>
      </c>
      <c r="P823" t="s">
        <v>74</v>
      </c>
      <c r="Q823" t="s">
        <v>74</v>
      </c>
      <c r="R823" t="s">
        <v>74</v>
      </c>
      <c r="S823" t="s">
        <v>74</v>
      </c>
      <c r="T823" t="s">
        <v>74</v>
      </c>
      <c r="U823" t="s">
        <v>11741</v>
      </c>
      <c r="V823" t="s">
        <v>11742</v>
      </c>
      <c r="W823" t="s">
        <v>11743</v>
      </c>
      <c r="X823" t="s">
        <v>11744</v>
      </c>
      <c r="Y823" t="s">
        <v>11745</v>
      </c>
      <c r="Z823" t="s">
        <v>11746</v>
      </c>
      <c r="AA823" t="s">
        <v>74</v>
      </c>
      <c r="AB823" t="s">
        <v>11747</v>
      </c>
      <c r="AC823" t="s">
        <v>11748</v>
      </c>
      <c r="AD823" t="s">
        <v>235</v>
      </c>
      <c r="AE823" t="s">
        <v>74</v>
      </c>
      <c r="AF823" t="s">
        <v>74</v>
      </c>
      <c r="AG823">
        <v>30</v>
      </c>
      <c r="AH823">
        <v>26</v>
      </c>
      <c r="AI823">
        <v>33</v>
      </c>
      <c r="AJ823">
        <v>0</v>
      </c>
      <c r="AK823">
        <v>4</v>
      </c>
      <c r="AL823" t="s">
        <v>11749</v>
      </c>
      <c r="AM823" t="s">
        <v>1813</v>
      </c>
      <c r="AN823" t="s">
        <v>9237</v>
      </c>
      <c r="AO823" t="s">
        <v>11732</v>
      </c>
      <c r="AP823" t="s">
        <v>74</v>
      </c>
      <c r="AQ823" t="s">
        <v>74</v>
      </c>
      <c r="AR823" t="s">
        <v>11734</v>
      </c>
      <c r="AS823" t="s">
        <v>11735</v>
      </c>
      <c r="AT823" t="s">
        <v>74</v>
      </c>
      <c r="AU823">
        <v>2005</v>
      </c>
      <c r="AV823">
        <v>51</v>
      </c>
      <c r="AW823">
        <v>172</v>
      </c>
      <c r="AX823" t="s">
        <v>74</v>
      </c>
      <c r="AY823" t="s">
        <v>74</v>
      </c>
      <c r="AZ823" t="s">
        <v>74</v>
      </c>
      <c r="BA823" t="s">
        <v>74</v>
      </c>
      <c r="BB823">
        <v>96</v>
      </c>
      <c r="BC823">
        <v>104</v>
      </c>
      <c r="BD823" t="s">
        <v>74</v>
      </c>
      <c r="BE823" t="s">
        <v>11750</v>
      </c>
      <c r="BF823" t="str">
        <f>HYPERLINK("http://dx.doi.org/10.3189/172756505781829494","http://dx.doi.org/10.3189/172756505781829494")</f>
        <v>http://dx.doi.org/10.3189/172756505781829494</v>
      </c>
      <c r="BG823" t="s">
        <v>74</v>
      </c>
      <c r="BH823" t="s">
        <v>74</v>
      </c>
      <c r="BI823">
        <v>9</v>
      </c>
      <c r="BJ823" t="s">
        <v>242</v>
      </c>
      <c r="BK823" t="s">
        <v>95</v>
      </c>
      <c r="BL823" t="s">
        <v>243</v>
      </c>
      <c r="BM823" t="s">
        <v>11737</v>
      </c>
      <c r="BN823" t="s">
        <v>74</v>
      </c>
      <c r="BO823" t="s">
        <v>855</v>
      </c>
      <c r="BP823" t="s">
        <v>74</v>
      </c>
      <c r="BQ823" t="s">
        <v>74</v>
      </c>
      <c r="BR823" t="s">
        <v>97</v>
      </c>
      <c r="BS823" t="s">
        <v>11751</v>
      </c>
      <c r="BT823" t="str">
        <f>HYPERLINK("https%3A%2F%2Fwww.webofscience.com%2Fwos%2Fwoscc%2Ffull-record%2FWOS:000233397200009","View Full Record in Web of Science")</f>
        <v>View Full Record in Web of Science</v>
      </c>
    </row>
    <row r="824" spans="1:72" x14ac:dyDescent="0.15">
      <c r="A824" t="s">
        <v>72</v>
      </c>
      <c r="B824" t="s">
        <v>11752</v>
      </c>
      <c r="C824" t="s">
        <v>74</v>
      </c>
      <c r="D824" t="s">
        <v>74</v>
      </c>
      <c r="E824" t="s">
        <v>74</v>
      </c>
      <c r="F824" t="s">
        <v>11752</v>
      </c>
      <c r="G824" t="s">
        <v>74</v>
      </c>
      <c r="H824" t="s">
        <v>74</v>
      </c>
      <c r="I824" t="s">
        <v>11753</v>
      </c>
      <c r="J824" t="s">
        <v>11722</v>
      </c>
      <c r="K824" t="s">
        <v>74</v>
      </c>
      <c r="L824" t="s">
        <v>74</v>
      </c>
      <c r="M824" t="s">
        <v>77</v>
      </c>
      <c r="N824" t="s">
        <v>78</v>
      </c>
      <c r="O824" t="s">
        <v>74</v>
      </c>
      <c r="P824" t="s">
        <v>74</v>
      </c>
      <c r="Q824" t="s">
        <v>74</v>
      </c>
      <c r="R824" t="s">
        <v>74</v>
      </c>
      <c r="S824" t="s">
        <v>74</v>
      </c>
      <c r="T824" t="s">
        <v>74</v>
      </c>
      <c r="U824" t="s">
        <v>11754</v>
      </c>
      <c r="V824" t="s">
        <v>11755</v>
      </c>
      <c r="W824" t="s">
        <v>11756</v>
      </c>
      <c r="X824" t="s">
        <v>11757</v>
      </c>
      <c r="Y824" t="s">
        <v>11758</v>
      </c>
      <c r="Z824" t="s">
        <v>9403</v>
      </c>
      <c r="AA824" t="s">
        <v>74</v>
      </c>
      <c r="AB824" t="s">
        <v>9404</v>
      </c>
      <c r="AC824" t="s">
        <v>74</v>
      </c>
      <c r="AD824" t="s">
        <v>74</v>
      </c>
      <c r="AE824" t="s">
        <v>74</v>
      </c>
      <c r="AF824" t="s">
        <v>74</v>
      </c>
      <c r="AG824">
        <v>60</v>
      </c>
      <c r="AH824">
        <v>29</v>
      </c>
      <c r="AI824">
        <v>37</v>
      </c>
      <c r="AJ824">
        <v>0</v>
      </c>
      <c r="AK824">
        <v>8</v>
      </c>
      <c r="AL824" t="s">
        <v>212</v>
      </c>
      <c r="AM824" t="s">
        <v>1813</v>
      </c>
      <c r="AN824" t="s">
        <v>11731</v>
      </c>
      <c r="AO824" t="s">
        <v>11732</v>
      </c>
      <c r="AP824" t="s">
        <v>11733</v>
      </c>
      <c r="AQ824" t="s">
        <v>74</v>
      </c>
      <c r="AR824" t="s">
        <v>11734</v>
      </c>
      <c r="AS824" t="s">
        <v>11735</v>
      </c>
      <c r="AT824" t="s">
        <v>74</v>
      </c>
      <c r="AU824">
        <v>2005</v>
      </c>
      <c r="AV824">
        <v>51</v>
      </c>
      <c r="AW824">
        <v>172</v>
      </c>
      <c r="AX824" t="s">
        <v>74</v>
      </c>
      <c r="AY824" t="s">
        <v>74</v>
      </c>
      <c r="AZ824" t="s">
        <v>74</v>
      </c>
      <c r="BA824" t="s">
        <v>74</v>
      </c>
      <c r="BB824">
        <v>147</v>
      </c>
      <c r="BC824">
        <v>157</v>
      </c>
      <c r="BD824" t="s">
        <v>74</v>
      </c>
      <c r="BE824" t="s">
        <v>11759</v>
      </c>
      <c r="BF824" t="str">
        <f>HYPERLINK("http://dx.doi.org/10.3189/172756505781829610","http://dx.doi.org/10.3189/172756505781829610")</f>
        <v>http://dx.doi.org/10.3189/172756505781829610</v>
      </c>
      <c r="BG824" t="s">
        <v>74</v>
      </c>
      <c r="BH824" t="s">
        <v>74</v>
      </c>
      <c r="BI824">
        <v>11</v>
      </c>
      <c r="BJ824" t="s">
        <v>242</v>
      </c>
      <c r="BK824" t="s">
        <v>95</v>
      </c>
      <c r="BL824" t="s">
        <v>243</v>
      </c>
      <c r="BM824" t="s">
        <v>11737</v>
      </c>
      <c r="BN824" t="s">
        <v>74</v>
      </c>
      <c r="BO824" t="s">
        <v>855</v>
      </c>
      <c r="BP824" t="s">
        <v>74</v>
      </c>
      <c r="BQ824" t="s">
        <v>74</v>
      </c>
      <c r="BR824" t="s">
        <v>97</v>
      </c>
      <c r="BS824" t="s">
        <v>11760</v>
      </c>
      <c r="BT824" t="str">
        <f>HYPERLINK("https%3A%2F%2Fwww.webofscience.com%2Fwos%2Fwoscc%2Ffull-record%2FWOS:000233397200014","View Full Record in Web of Science")</f>
        <v>View Full Record in Web of Science</v>
      </c>
    </row>
    <row r="825" spans="1:72" x14ac:dyDescent="0.15">
      <c r="A825" t="s">
        <v>72</v>
      </c>
      <c r="B825" t="s">
        <v>11761</v>
      </c>
      <c r="C825" t="s">
        <v>74</v>
      </c>
      <c r="D825" t="s">
        <v>74</v>
      </c>
      <c r="E825" t="s">
        <v>74</v>
      </c>
      <c r="F825" t="s">
        <v>11761</v>
      </c>
      <c r="G825" t="s">
        <v>74</v>
      </c>
      <c r="H825" t="s">
        <v>74</v>
      </c>
      <c r="I825" t="s">
        <v>11762</v>
      </c>
      <c r="J825" t="s">
        <v>11722</v>
      </c>
      <c r="K825" t="s">
        <v>74</v>
      </c>
      <c r="L825" t="s">
        <v>74</v>
      </c>
      <c r="M825" t="s">
        <v>77</v>
      </c>
      <c r="N825" t="s">
        <v>78</v>
      </c>
      <c r="O825" t="s">
        <v>74</v>
      </c>
      <c r="P825" t="s">
        <v>74</v>
      </c>
      <c r="Q825" t="s">
        <v>74</v>
      </c>
      <c r="R825" t="s">
        <v>74</v>
      </c>
      <c r="S825" t="s">
        <v>74</v>
      </c>
      <c r="T825" t="s">
        <v>74</v>
      </c>
      <c r="U825" t="s">
        <v>11763</v>
      </c>
      <c r="V825" t="s">
        <v>11764</v>
      </c>
      <c r="W825" t="s">
        <v>11765</v>
      </c>
      <c r="X825" t="s">
        <v>11766</v>
      </c>
      <c r="Y825" t="s">
        <v>11767</v>
      </c>
      <c r="Z825" t="s">
        <v>11768</v>
      </c>
      <c r="AA825" t="s">
        <v>74</v>
      </c>
      <c r="AB825" t="s">
        <v>74</v>
      </c>
      <c r="AC825" t="s">
        <v>74</v>
      </c>
      <c r="AD825" t="s">
        <v>74</v>
      </c>
      <c r="AE825" t="s">
        <v>74</v>
      </c>
      <c r="AF825" t="s">
        <v>74</v>
      </c>
      <c r="AG825">
        <v>28</v>
      </c>
      <c r="AH825">
        <v>29</v>
      </c>
      <c r="AI825">
        <v>34</v>
      </c>
      <c r="AJ825">
        <v>0</v>
      </c>
      <c r="AK825">
        <v>8</v>
      </c>
      <c r="AL825" t="s">
        <v>212</v>
      </c>
      <c r="AM825" t="s">
        <v>1813</v>
      </c>
      <c r="AN825" t="s">
        <v>11731</v>
      </c>
      <c r="AO825" t="s">
        <v>11732</v>
      </c>
      <c r="AP825" t="s">
        <v>11733</v>
      </c>
      <c r="AQ825" t="s">
        <v>74</v>
      </c>
      <c r="AR825" t="s">
        <v>11734</v>
      </c>
      <c r="AS825" t="s">
        <v>11735</v>
      </c>
      <c r="AT825" t="s">
        <v>74</v>
      </c>
      <c r="AU825">
        <v>2005</v>
      </c>
      <c r="AV825">
        <v>51</v>
      </c>
      <c r="AW825">
        <v>173</v>
      </c>
      <c r="AX825" t="s">
        <v>74</v>
      </c>
      <c r="AY825" t="s">
        <v>74</v>
      </c>
      <c r="AZ825" t="s">
        <v>74</v>
      </c>
      <c r="BA825" t="s">
        <v>74</v>
      </c>
      <c r="BB825">
        <v>307</v>
      </c>
      <c r="BC825">
        <v>312</v>
      </c>
      <c r="BD825" t="s">
        <v>74</v>
      </c>
      <c r="BE825" t="s">
        <v>11769</v>
      </c>
      <c r="BF825" t="str">
        <f>HYPERLINK("http://dx.doi.org/10.3189/172756505781829395","http://dx.doi.org/10.3189/172756505781829395")</f>
        <v>http://dx.doi.org/10.3189/172756505781829395</v>
      </c>
      <c r="BG825" t="s">
        <v>74</v>
      </c>
      <c r="BH825" t="s">
        <v>74</v>
      </c>
      <c r="BI825">
        <v>6</v>
      </c>
      <c r="BJ825" t="s">
        <v>242</v>
      </c>
      <c r="BK825" t="s">
        <v>95</v>
      </c>
      <c r="BL825" t="s">
        <v>243</v>
      </c>
      <c r="BM825" t="s">
        <v>11770</v>
      </c>
      <c r="BN825" t="s">
        <v>74</v>
      </c>
      <c r="BO825" t="s">
        <v>3093</v>
      </c>
      <c r="BP825" t="s">
        <v>74</v>
      </c>
      <c r="BQ825" t="s">
        <v>74</v>
      </c>
      <c r="BR825" t="s">
        <v>97</v>
      </c>
      <c r="BS825" t="s">
        <v>11771</v>
      </c>
      <c r="BT825" t="str">
        <f>HYPERLINK("https%3A%2F%2Fwww.webofscience.com%2Fwos%2Fwoscc%2Ffull-record%2FWOS:000234020900012","View Full Record in Web of Science")</f>
        <v>View Full Record in Web of Science</v>
      </c>
    </row>
    <row r="826" spans="1:72" x14ac:dyDescent="0.15">
      <c r="A826" t="s">
        <v>72</v>
      </c>
      <c r="B826" t="s">
        <v>11772</v>
      </c>
      <c r="C826" t="s">
        <v>74</v>
      </c>
      <c r="D826" t="s">
        <v>74</v>
      </c>
      <c r="E826" t="s">
        <v>74</v>
      </c>
      <c r="F826" t="s">
        <v>11772</v>
      </c>
      <c r="G826" t="s">
        <v>74</v>
      </c>
      <c r="H826" t="s">
        <v>74</v>
      </c>
      <c r="I826" t="s">
        <v>11773</v>
      </c>
      <c r="J826" t="s">
        <v>11722</v>
      </c>
      <c r="K826" t="s">
        <v>74</v>
      </c>
      <c r="L826" t="s">
        <v>74</v>
      </c>
      <c r="M826" t="s">
        <v>77</v>
      </c>
      <c r="N826" t="s">
        <v>78</v>
      </c>
      <c r="O826" t="s">
        <v>74</v>
      </c>
      <c r="P826" t="s">
        <v>74</v>
      </c>
      <c r="Q826" t="s">
        <v>74</v>
      </c>
      <c r="R826" t="s">
        <v>74</v>
      </c>
      <c r="S826" t="s">
        <v>74</v>
      </c>
      <c r="T826" t="s">
        <v>74</v>
      </c>
      <c r="U826" t="s">
        <v>11774</v>
      </c>
      <c r="V826" t="s">
        <v>11775</v>
      </c>
      <c r="W826" t="s">
        <v>11776</v>
      </c>
      <c r="X826" t="s">
        <v>522</v>
      </c>
      <c r="Y826" t="s">
        <v>11777</v>
      </c>
      <c r="Z826" t="s">
        <v>11778</v>
      </c>
      <c r="AA826" t="s">
        <v>11779</v>
      </c>
      <c r="AB826" t="s">
        <v>11780</v>
      </c>
      <c r="AC826" t="s">
        <v>74</v>
      </c>
      <c r="AD826" t="s">
        <v>74</v>
      </c>
      <c r="AE826" t="s">
        <v>74</v>
      </c>
      <c r="AF826" t="s">
        <v>74</v>
      </c>
      <c r="AG826">
        <v>20</v>
      </c>
      <c r="AH826">
        <v>5</v>
      </c>
      <c r="AI826">
        <v>5</v>
      </c>
      <c r="AJ826">
        <v>0</v>
      </c>
      <c r="AK826">
        <v>4</v>
      </c>
      <c r="AL826" t="s">
        <v>11749</v>
      </c>
      <c r="AM826" t="s">
        <v>1813</v>
      </c>
      <c r="AN826" t="s">
        <v>9237</v>
      </c>
      <c r="AO826" t="s">
        <v>11732</v>
      </c>
      <c r="AP826" t="s">
        <v>74</v>
      </c>
      <c r="AQ826" t="s">
        <v>74</v>
      </c>
      <c r="AR826" t="s">
        <v>11734</v>
      </c>
      <c r="AS826" t="s">
        <v>11735</v>
      </c>
      <c r="AT826" t="s">
        <v>74</v>
      </c>
      <c r="AU826">
        <v>2005</v>
      </c>
      <c r="AV826">
        <v>51</v>
      </c>
      <c r="AW826">
        <v>173</v>
      </c>
      <c r="AX826" t="s">
        <v>74</v>
      </c>
      <c r="AY826" t="s">
        <v>74</v>
      </c>
      <c r="AZ826" t="s">
        <v>74</v>
      </c>
      <c r="BA826" t="s">
        <v>74</v>
      </c>
      <c r="BB826">
        <v>325</v>
      </c>
      <c r="BC826">
        <v>332</v>
      </c>
      <c r="BD826" t="s">
        <v>74</v>
      </c>
      <c r="BE826" t="s">
        <v>11781</v>
      </c>
      <c r="BF826" t="str">
        <f>HYPERLINK("http://dx.doi.org/10.3189/172756505781829340","http://dx.doi.org/10.3189/172756505781829340")</f>
        <v>http://dx.doi.org/10.3189/172756505781829340</v>
      </c>
      <c r="BG826" t="s">
        <v>74</v>
      </c>
      <c r="BH826" t="s">
        <v>74</v>
      </c>
      <c r="BI826">
        <v>8</v>
      </c>
      <c r="BJ826" t="s">
        <v>242</v>
      </c>
      <c r="BK826" t="s">
        <v>95</v>
      </c>
      <c r="BL826" t="s">
        <v>243</v>
      </c>
      <c r="BM826" t="s">
        <v>11770</v>
      </c>
      <c r="BN826" t="s">
        <v>74</v>
      </c>
      <c r="BO826" t="s">
        <v>855</v>
      </c>
      <c r="BP826" t="s">
        <v>74</v>
      </c>
      <c r="BQ826" t="s">
        <v>74</v>
      </c>
      <c r="BR826" t="s">
        <v>97</v>
      </c>
      <c r="BS826" t="s">
        <v>11782</v>
      </c>
      <c r="BT826" t="str">
        <f>HYPERLINK("https%3A%2F%2Fwww.webofscience.com%2Fwos%2Fwoscc%2Ffull-record%2FWOS:000234020900014","View Full Record in Web of Science")</f>
        <v>View Full Record in Web of Science</v>
      </c>
    </row>
    <row r="827" spans="1:72" x14ac:dyDescent="0.15">
      <c r="A827" t="s">
        <v>72</v>
      </c>
      <c r="B827" t="s">
        <v>11783</v>
      </c>
      <c r="C827" t="s">
        <v>74</v>
      </c>
      <c r="D827" t="s">
        <v>74</v>
      </c>
      <c r="E827" t="s">
        <v>74</v>
      </c>
      <c r="F827" t="s">
        <v>11784</v>
      </c>
      <c r="G827" t="s">
        <v>74</v>
      </c>
      <c r="H827" t="s">
        <v>74</v>
      </c>
      <c r="I827" t="s">
        <v>11785</v>
      </c>
      <c r="J827" t="s">
        <v>11722</v>
      </c>
      <c r="K827" t="s">
        <v>74</v>
      </c>
      <c r="L827" t="s">
        <v>74</v>
      </c>
      <c r="M827" t="s">
        <v>77</v>
      </c>
      <c r="N827" t="s">
        <v>78</v>
      </c>
      <c r="O827" t="s">
        <v>74</v>
      </c>
      <c r="P827" t="s">
        <v>74</v>
      </c>
      <c r="Q827" t="s">
        <v>74</v>
      </c>
      <c r="R827" t="s">
        <v>74</v>
      </c>
      <c r="S827" t="s">
        <v>74</v>
      </c>
      <c r="T827" t="s">
        <v>74</v>
      </c>
      <c r="U827" t="s">
        <v>11786</v>
      </c>
      <c r="V827" t="s">
        <v>11787</v>
      </c>
      <c r="W827" t="s">
        <v>11788</v>
      </c>
      <c r="X827" t="s">
        <v>11789</v>
      </c>
      <c r="Y827" t="s">
        <v>11790</v>
      </c>
      <c r="Z827" t="s">
        <v>11791</v>
      </c>
      <c r="AA827" t="s">
        <v>11792</v>
      </c>
      <c r="AB827" t="s">
        <v>11793</v>
      </c>
      <c r="AC827" t="s">
        <v>9546</v>
      </c>
      <c r="AD827" t="s">
        <v>6063</v>
      </c>
      <c r="AE827" t="s">
        <v>74</v>
      </c>
      <c r="AF827" t="s">
        <v>74</v>
      </c>
      <c r="AG827">
        <v>45</v>
      </c>
      <c r="AH827">
        <v>27</v>
      </c>
      <c r="AI827">
        <v>30</v>
      </c>
      <c r="AJ827">
        <v>0</v>
      </c>
      <c r="AK827">
        <v>12</v>
      </c>
      <c r="AL827" t="s">
        <v>212</v>
      </c>
      <c r="AM827" t="s">
        <v>1813</v>
      </c>
      <c r="AN827" t="s">
        <v>11731</v>
      </c>
      <c r="AO827" t="s">
        <v>11732</v>
      </c>
      <c r="AP827" t="s">
        <v>11733</v>
      </c>
      <c r="AQ827" t="s">
        <v>74</v>
      </c>
      <c r="AR827" t="s">
        <v>11734</v>
      </c>
      <c r="AS827" t="s">
        <v>11735</v>
      </c>
      <c r="AT827" t="s">
        <v>74</v>
      </c>
      <c r="AU827">
        <v>2005</v>
      </c>
      <c r="AV827">
        <v>51</v>
      </c>
      <c r="AW827">
        <v>174</v>
      </c>
      <c r="AX827" t="s">
        <v>74</v>
      </c>
      <c r="AY827" t="s">
        <v>74</v>
      </c>
      <c r="AZ827" t="s">
        <v>74</v>
      </c>
      <c r="BA827" t="s">
        <v>74</v>
      </c>
      <c r="BB827">
        <v>343</v>
      </c>
      <c r="BC827">
        <v>352</v>
      </c>
      <c r="BD827" t="s">
        <v>74</v>
      </c>
      <c r="BE827" t="s">
        <v>11794</v>
      </c>
      <c r="BF827" t="str">
        <f>HYPERLINK("http://dx.doi.org/10.3189/172756505781829232","http://dx.doi.org/10.3189/172756505781829232")</f>
        <v>http://dx.doi.org/10.3189/172756505781829232</v>
      </c>
      <c r="BG827" t="s">
        <v>74</v>
      </c>
      <c r="BH827" t="s">
        <v>74</v>
      </c>
      <c r="BI827">
        <v>10</v>
      </c>
      <c r="BJ827" t="s">
        <v>242</v>
      </c>
      <c r="BK827" t="s">
        <v>95</v>
      </c>
      <c r="BL827" t="s">
        <v>243</v>
      </c>
      <c r="BM827" t="s">
        <v>11795</v>
      </c>
      <c r="BN827" t="s">
        <v>74</v>
      </c>
      <c r="BO827" t="s">
        <v>539</v>
      </c>
      <c r="BP827" t="s">
        <v>74</v>
      </c>
      <c r="BQ827" t="s">
        <v>74</v>
      </c>
      <c r="BR827" t="s">
        <v>97</v>
      </c>
      <c r="BS827" t="s">
        <v>11796</v>
      </c>
      <c r="BT827" t="str">
        <f>HYPERLINK("https%3A%2F%2Fwww.webofscience.com%2Fwos%2Fwoscc%2Ffull-record%2FWOS:000240608700001","View Full Record in Web of Science")</f>
        <v>View Full Record in Web of Science</v>
      </c>
    </row>
    <row r="828" spans="1:72" x14ac:dyDescent="0.15">
      <c r="A828" t="s">
        <v>72</v>
      </c>
      <c r="B828" t="s">
        <v>11797</v>
      </c>
      <c r="C828" t="s">
        <v>74</v>
      </c>
      <c r="D828" t="s">
        <v>74</v>
      </c>
      <c r="E828" t="s">
        <v>74</v>
      </c>
      <c r="F828" t="s">
        <v>11798</v>
      </c>
      <c r="G828" t="s">
        <v>74</v>
      </c>
      <c r="H828" t="s">
        <v>74</v>
      </c>
      <c r="I828" t="s">
        <v>11799</v>
      </c>
      <c r="J828" t="s">
        <v>11722</v>
      </c>
      <c r="K828" t="s">
        <v>74</v>
      </c>
      <c r="L828" t="s">
        <v>74</v>
      </c>
      <c r="M828" t="s">
        <v>77</v>
      </c>
      <c r="N828" t="s">
        <v>78</v>
      </c>
      <c r="O828" t="s">
        <v>74</v>
      </c>
      <c r="P828" t="s">
        <v>74</v>
      </c>
      <c r="Q828" t="s">
        <v>74</v>
      </c>
      <c r="R828" t="s">
        <v>74</v>
      </c>
      <c r="S828" t="s">
        <v>74</v>
      </c>
      <c r="T828" t="s">
        <v>74</v>
      </c>
      <c r="U828" t="s">
        <v>11800</v>
      </c>
      <c r="V828" t="s">
        <v>11801</v>
      </c>
      <c r="W828" t="s">
        <v>6865</v>
      </c>
      <c r="X828" t="s">
        <v>128</v>
      </c>
      <c r="Y828" t="s">
        <v>11802</v>
      </c>
      <c r="Z828" t="s">
        <v>11803</v>
      </c>
      <c r="AA828" t="s">
        <v>11804</v>
      </c>
      <c r="AB828" t="s">
        <v>11805</v>
      </c>
      <c r="AC828" t="s">
        <v>74</v>
      </c>
      <c r="AD828" t="s">
        <v>74</v>
      </c>
      <c r="AE828" t="s">
        <v>74</v>
      </c>
      <c r="AF828" t="s">
        <v>74</v>
      </c>
      <c r="AG828">
        <v>23</v>
      </c>
      <c r="AH828">
        <v>8</v>
      </c>
      <c r="AI828">
        <v>8</v>
      </c>
      <c r="AJ828">
        <v>0</v>
      </c>
      <c r="AK828">
        <v>6</v>
      </c>
      <c r="AL828" t="s">
        <v>212</v>
      </c>
      <c r="AM828" t="s">
        <v>1813</v>
      </c>
      <c r="AN828" t="s">
        <v>11731</v>
      </c>
      <c r="AO828" t="s">
        <v>11732</v>
      </c>
      <c r="AP828" t="s">
        <v>11733</v>
      </c>
      <c r="AQ828" t="s">
        <v>74</v>
      </c>
      <c r="AR828" t="s">
        <v>11734</v>
      </c>
      <c r="AS828" t="s">
        <v>11735</v>
      </c>
      <c r="AT828" t="s">
        <v>74</v>
      </c>
      <c r="AU828">
        <v>2005</v>
      </c>
      <c r="AV828">
        <v>51</v>
      </c>
      <c r="AW828">
        <v>174</v>
      </c>
      <c r="AX828" t="s">
        <v>74</v>
      </c>
      <c r="AY828" t="s">
        <v>74</v>
      </c>
      <c r="AZ828" t="s">
        <v>74</v>
      </c>
      <c r="BA828" t="s">
        <v>74</v>
      </c>
      <c r="BB828">
        <v>363</v>
      </c>
      <c r="BC828">
        <v>372</v>
      </c>
      <c r="BD828" t="s">
        <v>74</v>
      </c>
      <c r="BE828" t="s">
        <v>11806</v>
      </c>
      <c r="BF828" t="str">
        <f>HYPERLINK("http://dx.doi.org/10.3189/172756505781829313","http://dx.doi.org/10.3189/172756505781829313")</f>
        <v>http://dx.doi.org/10.3189/172756505781829313</v>
      </c>
      <c r="BG828" t="s">
        <v>74</v>
      </c>
      <c r="BH828" t="s">
        <v>74</v>
      </c>
      <c r="BI828">
        <v>10</v>
      </c>
      <c r="BJ828" t="s">
        <v>242</v>
      </c>
      <c r="BK828" t="s">
        <v>95</v>
      </c>
      <c r="BL828" t="s">
        <v>243</v>
      </c>
      <c r="BM828" t="s">
        <v>11795</v>
      </c>
      <c r="BN828" t="s">
        <v>74</v>
      </c>
      <c r="BO828" t="s">
        <v>855</v>
      </c>
      <c r="BP828" t="s">
        <v>74</v>
      </c>
      <c r="BQ828" t="s">
        <v>74</v>
      </c>
      <c r="BR828" t="s">
        <v>97</v>
      </c>
      <c r="BS828" t="s">
        <v>11807</v>
      </c>
      <c r="BT828" t="str">
        <f>HYPERLINK("https%3A%2F%2Fwww.webofscience.com%2Fwos%2Fwoscc%2Ffull-record%2FWOS:000240608700003","View Full Record in Web of Science")</f>
        <v>View Full Record in Web of Science</v>
      </c>
    </row>
    <row r="829" spans="1:72" x14ac:dyDescent="0.15">
      <c r="A829" t="s">
        <v>72</v>
      </c>
      <c r="B829" t="s">
        <v>11808</v>
      </c>
      <c r="C829" t="s">
        <v>74</v>
      </c>
      <c r="D829" t="s">
        <v>74</v>
      </c>
      <c r="E829" t="s">
        <v>74</v>
      </c>
      <c r="F829" t="s">
        <v>11809</v>
      </c>
      <c r="G829" t="s">
        <v>74</v>
      </c>
      <c r="H829" t="s">
        <v>74</v>
      </c>
      <c r="I829" t="s">
        <v>11810</v>
      </c>
      <c r="J829" t="s">
        <v>11722</v>
      </c>
      <c r="K829" t="s">
        <v>74</v>
      </c>
      <c r="L829" t="s">
        <v>74</v>
      </c>
      <c r="M829" t="s">
        <v>77</v>
      </c>
      <c r="N829" t="s">
        <v>78</v>
      </c>
      <c r="O829" t="s">
        <v>74</v>
      </c>
      <c r="P829" t="s">
        <v>74</v>
      </c>
      <c r="Q829" t="s">
        <v>74</v>
      </c>
      <c r="R829" t="s">
        <v>74</v>
      </c>
      <c r="S829" t="s">
        <v>74</v>
      </c>
      <c r="T829" t="s">
        <v>74</v>
      </c>
      <c r="U829" t="s">
        <v>11811</v>
      </c>
      <c r="V829" t="s">
        <v>11812</v>
      </c>
      <c r="W829" t="s">
        <v>11813</v>
      </c>
      <c r="X829" t="s">
        <v>11814</v>
      </c>
      <c r="Y829" t="s">
        <v>11815</v>
      </c>
      <c r="Z829" t="s">
        <v>11816</v>
      </c>
      <c r="AA829" t="s">
        <v>74</v>
      </c>
      <c r="AB829" t="s">
        <v>74</v>
      </c>
      <c r="AC829" t="s">
        <v>74</v>
      </c>
      <c r="AD829" t="s">
        <v>74</v>
      </c>
      <c r="AE829" t="s">
        <v>74</v>
      </c>
      <c r="AF829" t="s">
        <v>74</v>
      </c>
      <c r="AG829">
        <v>19</v>
      </c>
      <c r="AH829">
        <v>5</v>
      </c>
      <c r="AI829">
        <v>5</v>
      </c>
      <c r="AJ829">
        <v>0</v>
      </c>
      <c r="AK829">
        <v>3</v>
      </c>
      <c r="AL829" t="s">
        <v>212</v>
      </c>
      <c r="AM829" t="s">
        <v>1813</v>
      </c>
      <c r="AN829" t="s">
        <v>11731</v>
      </c>
      <c r="AO829" t="s">
        <v>11732</v>
      </c>
      <c r="AP829" t="s">
        <v>11733</v>
      </c>
      <c r="AQ829" t="s">
        <v>74</v>
      </c>
      <c r="AR829" t="s">
        <v>11734</v>
      </c>
      <c r="AS829" t="s">
        <v>11735</v>
      </c>
      <c r="AT829" t="s">
        <v>74</v>
      </c>
      <c r="AU829">
        <v>2005</v>
      </c>
      <c r="AV829">
        <v>51</v>
      </c>
      <c r="AW829">
        <v>174</v>
      </c>
      <c r="AX829" t="s">
        <v>74</v>
      </c>
      <c r="AY829" t="s">
        <v>74</v>
      </c>
      <c r="AZ829" t="s">
        <v>74</v>
      </c>
      <c r="BA829" t="s">
        <v>74</v>
      </c>
      <c r="BB829">
        <v>373</v>
      </c>
      <c r="BC829">
        <v>376</v>
      </c>
      <c r="BD829" t="s">
        <v>74</v>
      </c>
      <c r="BE829" t="s">
        <v>11817</v>
      </c>
      <c r="BF829" t="str">
        <f>HYPERLINK("http://dx.doi.org/10.3189/172756505781829296","http://dx.doi.org/10.3189/172756505781829296")</f>
        <v>http://dx.doi.org/10.3189/172756505781829296</v>
      </c>
      <c r="BG829" t="s">
        <v>74</v>
      </c>
      <c r="BH829" t="s">
        <v>74</v>
      </c>
      <c r="BI829">
        <v>4</v>
      </c>
      <c r="BJ829" t="s">
        <v>242</v>
      </c>
      <c r="BK829" t="s">
        <v>95</v>
      </c>
      <c r="BL829" t="s">
        <v>243</v>
      </c>
      <c r="BM829" t="s">
        <v>11795</v>
      </c>
      <c r="BN829" t="s">
        <v>74</v>
      </c>
      <c r="BO829" t="s">
        <v>3093</v>
      </c>
      <c r="BP829" t="s">
        <v>74</v>
      </c>
      <c r="BQ829" t="s">
        <v>74</v>
      </c>
      <c r="BR829" t="s">
        <v>97</v>
      </c>
      <c r="BS829" t="s">
        <v>11818</v>
      </c>
      <c r="BT829" t="str">
        <f>HYPERLINK("https%3A%2F%2Fwww.webofscience.com%2Fwos%2Fwoscc%2Ffull-record%2FWOS:000240608700004","View Full Record in Web of Science")</f>
        <v>View Full Record in Web of Science</v>
      </c>
    </row>
    <row r="830" spans="1:72" x14ac:dyDescent="0.15">
      <c r="A830" t="s">
        <v>72</v>
      </c>
      <c r="B830" t="s">
        <v>11819</v>
      </c>
      <c r="C830" t="s">
        <v>74</v>
      </c>
      <c r="D830" t="s">
        <v>74</v>
      </c>
      <c r="E830" t="s">
        <v>74</v>
      </c>
      <c r="F830" t="s">
        <v>11820</v>
      </c>
      <c r="G830" t="s">
        <v>74</v>
      </c>
      <c r="H830" t="s">
        <v>74</v>
      </c>
      <c r="I830" t="s">
        <v>11821</v>
      </c>
      <c r="J830" t="s">
        <v>11722</v>
      </c>
      <c r="K830" t="s">
        <v>74</v>
      </c>
      <c r="L830" t="s">
        <v>74</v>
      </c>
      <c r="M830" t="s">
        <v>77</v>
      </c>
      <c r="N830" t="s">
        <v>78</v>
      </c>
      <c r="O830" t="s">
        <v>74</v>
      </c>
      <c r="P830" t="s">
        <v>74</v>
      </c>
      <c r="Q830" t="s">
        <v>74</v>
      </c>
      <c r="R830" t="s">
        <v>74</v>
      </c>
      <c r="S830" t="s">
        <v>74</v>
      </c>
      <c r="T830" t="s">
        <v>74</v>
      </c>
      <c r="U830" t="s">
        <v>11822</v>
      </c>
      <c r="V830" t="s">
        <v>11823</v>
      </c>
      <c r="W830" t="s">
        <v>11824</v>
      </c>
      <c r="X830" t="s">
        <v>671</v>
      </c>
      <c r="Y830" t="s">
        <v>11825</v>
      </c>
      <c r="Z830" t="s">
        <v>11826</v>
      </c>
      <c r="AA830" t="s">
        <v>11827</v>
      </c>
      <c r="AB830" t="s">
        <v>11828</v>
      </c>
      <c r="AC830" t="s">
        <v>11829</v>
      </c>
      <c r="AD830" t="s">
        <v>235</v>
      </c>
      <c r="AE830" t="s">
        <v>74</v>
      </c>
      <c r="AF830" t="s">
        <v>74</v>
      </c>
      <c r="AG830">
        <v>34</v>
      </c>
      <c r="AH830">
        <v>23</v>
      </c>
      <c r="AI830">
        <v>24</v>
      </c>
      <c r="AJ830">
        <v>0</v>
      </c>
      <c r="AK830">
        <v>8</v>
      </c>
      <c r="AL830" t="s">
        <v>212</v>
      </c>
      <c r="AM830" t="s">
        <v>1813</v>
      </c>
      <c r="AN830" t="s">
        <v>11731</v>
      </c>
      <c r="AO830" t="s">
        <v>11732</v>
      </c>
      <c r="AP830" t="s">
        <v>11733</v>
      </c>
      <c r="AQ830" t="s">
        <v>74</v>
      </c>
      <c r="AR830" t="s">
        <v>11734</v>
      </c>
      <c r="AS830" t="s">
        <v>11735</v>
      </c>
      <c r="AT830" t="s">
        <v>74</v>
      </c>
      <c r="AU830">
        <v>2005</v>
      </c>
      <c r="AV830">
        <v>51</v>
      </c>
      <c r="AW830">
        <v>174</v>
      </c>
      <c r="AX830" t="s">
        <v>74</v>
      </c>
      <c r="AY830" t="s">
        <v>74</v>
      </c>
      <c r="AZ830" t="s">
        <v>74</v>
      </c>
      <c r="BA830" t="s">
        <v>74</v>
      </c>
      <c r="BB830">
        <v>462</v>
      </c>
      <c r="BC830">
        <v>468</v>
      </c>
      <c r="BD830" t="s">
        <v>74</v>
      </c>
      <c r="BE830" t="s">
        <v>11830</v>
      </c>
      <c r="BF830" t="str">
        <f>HYPERLINK("http://dx.doi.org/10.3189/172756505781829197","http://dx.doi.org/10.3189/172756505781829197")</f>
        <v>http://dx.doi.org/10.3189/172756505781829197</v>
      </c>
      <c r="BG830" t="s">
        <v>74</v>
      </c>
      <c r="BH830" t="s">
        <v>74</v>
      </c>
      <c r="BI830">
        <v>7</v>
      </c>
      <c r="BJ830" t="s">
        <v>242</v>
      </c>
      <c r="BK830" t="s">
        <v>95</v>
      </c>
      <c r="BL830" t="s">
        <v>243</v>
      </c>
      <c r="BM830" t="s">
        <v>11795</v>
      </c>
      <c r="BN830" t="s">
        <v>74</v>
      </c>
      <c r="BO830" t="s">
        <v>539</v>
      </c>
      <c r="BP830" t="s">
        <v>74</v>
      </c>
      <c r="BQ830" t="s">
        <v>74</v>
      </c>
      <c r="BR830" t="s">
        <v>97</v>
      </c>
      <c r="BS830" t="s">
        <v>11831</v>
      </c>
      <c r="BT830" t="str">
        <f>HYPERLINK("https%3A%2F%2Fwww.webofscience.com%2Fwos%2Fwoscc%2Ffull-record%2FWOS:000240608700014","View Full Record in Web of Science")</f>
        <v>View Full Record in Web of Science</v>
      </c>
    </row>
    <row r="831" spans="1:72" x14ac:dyDescent="0.15">
      <c r="A831" t="s">
        <v>72</v>
      </c>
      <c r="B831" t="s">
        <v>11832</v>
      </c>
      <c r="C831" t="s">
        <v>74</v>
      </c>
      <c r="D831" t="s">
        <v>74</v>
      </c>
      <c r="E831" t="s">
        <v>74</v>
      </c>
      <c r="F831" t="s">
        <v>11833</v>
      </c>
      <c r="G831" t="s">
        <v>74</v>
      </c>
      <c r="H831" t="s">
        <v>74</v>
      </c>
      <c r="I831" t="s">
        <v>11834</v>
      </c>
      <c r="J831" t="s">
        <v>11722</v>
      </c>
      <c r="K831" t="s">
        <v>74</v>
      </c>
      <c r="L831" t="s">
        <v>74</v>
      </c>
      <c r="M831" t="s">
        <v>77</v>
      </c>
      <c r="N831" t="s">
        <v>78</v>
      </c>
      <c r="O831" t="s">
        <v>74</v>
      </c>
      <c r="P831" t="s">
        <v>74</v>
      </c>
      <c r="Q831" t="s">
        <v>74</v>
      </c>
      <c r="R831" t="s">
        <v>74</v>
      </c>
      <c r="S831" t="s">
        <v>74</v>
      </c>
      <c r="T831" t="s">
        <v>74</v>
      </c>
      <c r="U831" t="s">
        <v>11835</v>
      </c>
      <c r="V831" t="s">
        <v>11836</v>
      </c>
      <c r="W831" t="s">
        <v>11837</v>
      </c>
      <c r="X831" t="s">
        <v>11838</v>
      </c>
      <c r="Y831" t="s">
        <v>11839</v>
      </c>
      <c r="Z831" t="s">
        <v>11840</v>
      </c>
      <c r="AA831" t="s">
        <v>74</v>
      </c>
      <c r="AB831" t="s">
        <v>11841</v>
      </c>
      <c r="AC831" t="s">
        <v>74</v>
      </c>
      <c r="AD831" t="s">
        <v>74</v>
      </c>
      <c r="AE831" t="s">
        <v>74</v>
      </c>
      <c r="AF831" t="s">
        <v>74</v>
      </c>
      <c r="AG831">
        <v>63</v>
      </c>
      <c r="AH831">
        <v>378</v>
      </c>
      <c r="AI831">
        <v>434</v>
      </c>
      <c r="AJ831">
        <v>1</v>
      </c>
      <c r="AK831">
        <v>149</v>
      </c>
      <c r="AL831" t="s">
        <v>212</v>
      </c>
      <c r="AM831" t="s">
        <v>1813</v>
      </c>
      <c r="AN831" t="s">
        <v>11731</v>
      </c>
      <c r="AO831" t="s">
        <v>11732</v>
      </c>
      <c r="AP831" t="s">
        <v>11733</v>
      </c>
      <c r="AQ831" t="s">
        <v>74</v>
      </c>
      <c r="AR831" t="s">
        <v>11734</v>
      </c>
      <c r="AS831" t="s">
        <v>11735</v>
      </c>
      <c r="AT831" t="s">
        <v>74</v>
      </c>
      <c r="AU831">
        <v>2005</v>
      </c>
      <c r="AV831">
        <v>51</v>
      </c>
      <c r="AW831">
        <v>175</v>
      </c>
      <c r="AX831" t="s">
        <v>74</v>
      </c>
      <c r="AY831" t="s">
        <v>74</v>
      </c>
      <c r="AZ831" t="s">
        <v>74</v>
      </c>
      <c r="BA831" t="s">
        <v>74</v>
      </c>
      <c r="BB831">
        <v>509</v>
      </c>
      <c r="BC831">
        <v>527</v>
      </c>
      <c r="BD831" t="s">
        <v>74</v>
      </c>
      <c r="BE831" t="s">
        <v>11842</v>
      </c>
      <c r="BF831" t="str">
        <f>HYPERLINK("http://dx.doi.org/10.3189/172756505781829007","http://dx.doi.org/10.3189/172756505781829007")</f>
        <v>http://dx.doi.org/10.3189/172756505781829007</v>
      </c>
      <c r="BG831" t="s">
        <v>74</v>
      </c>
      <c r="BH831" t="s">
        <v>74</v>
      </c>
      <c r="BI831">
        <v>19</v>
      </c>
      <c r="BJ831" t="s">
        <v>242</v>
      </c>
      <c r="BK831" t="s">
        <v>95</v>
      </c>
      <c r="BL831" t="s">
        <v>243</v>
      </c>
      <c r="BM831" t="s">
        <v>11843</v>
      </c>
      <c r="BN831" t="s">
        <v>74</v>
      </c>
      <c r="BO831" t="s">
        <v>3093</v>
      </c>
      <c r="BP831" t="s">
        <v>74</v>
      </c>
      <c r="BQ831" t="s">
        <v>74</v>
      </c>
      <c r="BR831" t="s">
        <v>97</v>
      </c>
      <c r="BS831" t="s">
        <v>11844</v>
      </c>
      <c r="BT831" t="str">
        <f>HYPERLINK("https%3A%2F%2Fwww.webofscience.com%2Fwos%2Fwoscc%2Ffull-record%2FWOS:000240608800001","View Full Record in Web of Science")</f>
        <v>View Full Record in Web of Science</v>
      </c>
    </row>
    <row r="832" spans="1:72" x14ac:dyDescent="0.15">
      <c r="A832" t="s">
        <v>72</v>
      </c>
      <c r="B832" t="s">
        <v>11845</v>
      </c>
      <c r="C832" t="s">
        <v>74</v>
      </c>
      <c r="D832" t="s">
        <v>74</v>
      </c>
      <c r="E832" t="s">
        <v>74</v>
      </c>
      <c r="F832" t="s">
        <v>11846</v>
      </c>
      <c r="G832" t="s">
        <v>74</v>
      </c>
      <c r="H832" t="s">
        <v>74</v>
      </c>
      <c r="I832" t="s">
        <v>11847</v>
      </c>
      <c r="J832" t="s">
        <v>11722</v>
      </c>
      <c r="K832" t="s">
        <v>74</v>
      </c>
      <c r="L832" t="s">
        <v>74</v>
      </c>
      <c r="M832" t="s">
        <v>77</v>
      </c>
      <c r="N832" t="s">
        <v>78</v>
      </c>
      <c r="O832" t="s">
        <v>74</v>
      </c>
      <c r="P832" t="s">
        <v>74</v>
      </c>
      <c r="Q832" t="s">
        <v>74</v>
      </c>
      <c r="R832" t="s">
        <v>74</v>
      </c>
      <c r="S832" t="s">
        <v>74</v>
      </c>
      <c r="T832" t="s">
        <v>74</v>
      </c>
      <c r="U832" t="s">
        <v>11848</v>
      </c>
      <c r="V832" t="s">
        <v>11849</v>
      </c>
      <c r="W832" t="s">
        <v>670</v>
      </c>
      <c r="X832" t="s">
        <v>671</v>
      </c>
      <c r="Y832" t="s">
        <v>11850</v>
      </c>
      <c r="Z832" t="s">
        <v>11851</v>
      </c>
      <c r="AA832" t="s">
        <v>74</v>
      </c>
      <c r="AB832" t="s">
        <v>74</v>
      </c>
      <c r="AC832" t="s">
        <v>11852</v>
      </c>
      <c r="AD832" t="s">
        <v>235</v>
      </c>
      <c r="AE832" t="s">
        <v>74</v>
      </c>
      <c r="AF832" t="s">
        <v>74</v>
      </c>
      <c r="AG832">
        <v>16</v>
      </c>
      <c r="AH832">
        <v>1</v>
      </c>
      <c r="AI832">
        <v>1</v>
      </c>
      <c r="AJ832">
        <v>0</v>
      </c>
      <c r="AK832">
        <v>2</v>
      </c>
      <c r="AL832" t="s">
        <v>11749</v>
      </c>
      <c r="AM832" t="s">
        <v>1813</v>
      </c>
      <c r="AN832" t="s">
        <v>9237</v>
      </c>
      <c r="AO832" t="s">
        <v>11732</v>
      </c>
      <c r="AP832" t="s">
        <v>74</v>
      </c>
      <c r="AQ832" t="s">
        <v>74</v>
      </c>
      <c r="AR832" t="s">
        <v>11734</v>
      </c>
      <c r="AS832" t="s">
        <v>11735</v>
      </c>
      <c r="AT832" t="s">
        <v>74</v>
      </c>
      <c r="AU832">
        <v>2005</v>
      </c>
      <c r="AV832">
        <v>51</v>
      </c>
      <c r="AW832">
        <v>175</v>
      </c>
      <c r="AX832" t="s">
        <v>74</v>
      </c>
      <c r="AY832" t="s">
        <v>74</v>
      </c>
      <c r="AZ832" t="s">
        <v>74</v>
      </c>
      <c r="BA832" t="s">
        <v>74</v>
      </c>
      <c r="BB832">
        <v>528</v>
      </c>
      <c r="BC832">
        <v>538</v>
      </c>
      <c r="BD832" t="s">
        <v>74</v>
      </c>
      <c r="BE832" t="s">
        <v>11853</v>
      </c>
      <c r="BF832" t="str">
        <f>HYPERLINK("http://dx.doi.org/10.3189/172756505781829025","http://dx.doi.org/10.3189/172756505781829025")</f>
        <v>http://dx.doi.org/10.3189/172756505781829025</v>
      </c>
      <c r="BG832" t="s">
        <v>74</v>
      </c>
      <c r="BH832" t="s">
        <v>74</v>
      </c>
      <c r="BI832">
        <v>11</v>
      </c>
      <c r="BJ832" t="s">
        <v>242</v>
      </c>
      <c r="BK832" t="s">
        <v>95</v>
      </c>
      <c r="BL832" t="s">
        <v>243</v>
      </c>
      <c r="BM832" t="s">
        <v>11843</v>
      </c>
      <c r="BN832" t="s">
        <v>74</v>
      </c>
      <c r="BO832" t="s">
        <v>539</v>
      </c>
      <c r="BP832" t="s">
        <v>74</v>
      </c>
      <c r="BQ832" t="s">
        <v>74</v>
      </c>
      <c r="BR832" t="s">
        <v>97</v>
      </c>
      <c r="BS832" t="s">
        <v>11854</v>
      </c>
      <c r="BT832" t="str">
        <f>HYPERLINK("https%3A%2F%2Fwww.webofscience.com%2Fwos%2Fwoscc%2Ffull-record%2FWOS:000240608800002","View Full Record in Web of Science")</f>
        <v>View Full Record in Web of Science</v>
      </c>
    </row>
    <row r="833" spans="1:72" x14ac:dyDescent="0.15">
      <c r="A833" t="s">
        <v>72</v>
      </c>
      <c r="B833" t="s">
        <v>11855</v>
      </c>
      <c r="C833" t="s">
        <v>74</v>
      </c>
      <c r="D833" t="s">
        <v>74</v>
      </c>
      <c r="E833" t="s">
        <v>74</v>
      </c>
      <c r="F833" t="s">
        <v>11856</v>
      </c>
      <c r="G833" t="s">
        <v>74</v>
      </c>
      <c r="H833" t="s">
        <v>74</v>
      </c>
      <c r="I833" t="s">
        <v>11857</v>
      </c>
      <c r="J833" t="s">
        <v>11722</v>
      </c>
      <c r="K833" t="s">
        <v>74</v>
      </c>
      <c r="L833" t="s">
        <v>74</v>
      </c>
      <c r="M833" t="s">
        <v>77</v>
      </c>
      <c r="N833" t="s">
        <v>78</v>
      </c>
      <c r="O833" t="s">
        <v>74</v>
      </c>
      <c r="P833" t="s">
        <v>74</v>
      </c>
      <c r="Q833" t="s">
        <v>74</v>
      </c>
      <c r="R833" t="s">
        <v>74</v>
      </c>
      <c r="S833" t="s">
        <v>74</v>
      </c>
      <c r="T833" t="s">
        <v>74</v>
      </c>
      <c r="U833" t="s">
        <v>11858</v>
      </c>
      <c r="V833" t="s">
        <v>11859</v>
      </c>
      <c r="W833" t="s">
        <v>670</v>
      </c>
      <c r="X833" t="s">
        <v>671</v>
      </c>
      <c r="Y833" t="s">
        <v>11860</v>
      </c>
      <c r="Z833" t="s">
        <v>11861</v>
      </c>
      <c r="AA833" t="s">
        <v>674</v>
      </c>
      <c r="AB833" t="s">
        <v>675</v>
      </c>
      <c r="AC833" t="s">
        <v>11862</v>
      </c>
      <c r="AD833" t="s">
        <v>235</v>
      </c>
      <c r="AE833" t="s">
        <v>74</v>
      </c>
      <c r="AF833" t="s">
        <v>74</v>
      </c>
      <c r="AG833">
        <v>18</v>
      </c>
      <c r="AH833">
        <v>14</v>
      </c>
      <c r="AI833">
        <v>14</v>
      </c>
      <c r="AJ833">
        <v>0</v>
      </c>
      <c r="AK833">
        <v>6</v>
      </c>
      <c r="AL833" t="s">
        <v>11749</v>
      </c>
      <c r="AM833" t="s">
        <v>1813</v>
      </c>
      <c r="AN833" t="s">
        <v>9237</v>
      </c>
      <c r="AO833" t="s">
        <v>11732</v>
      </c>
      <c r="AP833" t="s">
        <v>74</v>
      </c>
      <c r="AQ833" t="s">
        <v>74</v>
      </c>
      <c r="AR833" t="s">
        <v>11734</v>
      </c>
      <c r="AS833" t="s">
        <v>11735</v>
      </c>
      <c r="AT833" t="s">
        <v>74</v>
      </c>
      <c r="AU833">
        <v>2005</v>
      </c>
      <c r="AV833">
        <v>51</v>
      </c>
      <c r="AW833">
        <v>175</v>
      </c>
      <c r="AX833" t="s">
        <v>74</v>
      </c>
      <c r="AY833" t="s">
        <v>74</v>
      </c>
      <c r="AZ833" t="s">
        <v>74</v>
      </c>
      <c r="BA833" t="s">
        <v>74</v>
      </c>
      <c r="BB833">
        <v>555</v>
      </c>
      <c r="BC833">
        <v>560</v>
      </c>
      <c r="BD833" t="s">
        <v>74</v>
      </c>
      <c r="BE833" t="s">
        <v>11863</v>
      </c>
      <c r="BF833" t="str">
        <f>HYPERLINK("http://dx.doi.org/10.3189/172756505781829043","http://dx.doi.org/10.3189/172756505781829043")</f>
        <v>http://dx.doi.org/10.3189/172756505781829043</v>
      </c>
      <c r="BG833" t="s">
        <v>74</v>
      </c>
      <c r="BH833" t="s">
        <v>74</v>
      </c>
      <c r="BI833">
        <v>6</v>
      </c>
      <c r="BJ833" t="s">
        <v>242</v>
      </c>
      <c r="BK833" t="s">
        <v>95</v>
      </c>
      <c r="BL833" t="s">
        <v>243</v>
      </c>
      <c r="BM833" t="s">
        <v>11843</v>
      </c>
      <c r="BN833" t="s">
        <v>74</v>
      </c>
      <c r="BO833" t="s">
        <v>539</v>
      </c>
      <c r="BP833" t="s">
        <v>74</v>
      </c>
      <c r="BQ833" t="s">
        <v>74</v>
      </c>
      <c r="BR833" t="s">
        <v>97</v>
      </c>
      <c r="BS833" t="s">
        <v>11864</v>
      </c>
      <c r="BT833" t="str">
        <f>HYPERLINK("https%3A%2F%2Fwww.webofscience.com%2Fwos%2Fwoscc%2Ffull-record%2FWOS:000240608800005","View Full Record in Web of Science")</f>
        <v>View Full Record in Web of Science</v>
      </c>
    </row>
    <row r="834" spans="1:72" x14ac:dyDescent="0.15">
      <c r="A834" t="s">
        <v>72</v>
      </c>
      <c r="B834" t="s">
        <v>11865</v>
      </c>
      <c r="C834" t="s">
        <v>74</v>
      </c>
      <c r="D834" t="s">
        <v>74</v>
      </c>
      <c r="E834" t="s">
        <v>74</v>
      </c>
      <c r="F834" t="s">
        <v>11866</v>
      </c>
      <c r="G834" t="s">
        <v>74</v>
      </c>
      <c r="H834" t="s">
        <v>74</v>
      </c>
      <c r="I834" t="s">
        <v>11867</v>
      </c>
      <c r="J834" t="s">
        <v>11722</v>
      </c>
      <c r="K834" t="s">
        <v>74</v>
      </c>
      <c r="L834" t="s">
        <v>74</v>
      </c>
      <c r="M834" t="s">
        <v>77</v>
      </c>
      <c r="N834" t="s">
        <v>78</v>
      </c>
      <c r="O834" t="s">
        <v>74</v>
      </c>
      <c r="P834" t="s">
        <v>74</v>
      </c>
      <c r="Q834" t="s">
        <v>74</v>
      </c>
      <c r="R834" t="s">
        <v>74</v>
      </c>
      <c r="S834" t="s">
        <v>74</v>
      </c>
      <c r="T834" t="s">
        <v>74</v>
      </c>
      <c r="U834" t="s">
        <v>11868</v>
      </c>
      <c r="V834" t="s">
        <v>11869</v>
      </c>
      <c r="W834" t="s">
        <v>11870</v>
      </c>
      <c r="X834" t="s">
        <v>11871</v>
      </c>
      <c r="Y834" t="s">
        <v>11872</v>
      </c>
      <c r="Z834" t="s">
        <v>9265</v>
      </c>
      <c r="AA834" t="s">
        <v>74</v>
      </c>
      <c r="AB834" t="s">
        <v>74</v>
      </c>
      <c r="AC834" t="s">
        <v>74</v>
      </c>
      <c r="AD834" t="s">
        <v>74</v>
      </c>
      <c r="AE834" t="s">
        <v>74</v>
      </c>
      <c r="AF834" t="s">
        <v>74</v>
      </c>
      <c r="AG834">
        <v>70</v>
      </c>
      <c r="AH834">
        <v>14</v>
      </c>
      <c r="AI834">
        <v>19</v>
      </c>
      <c r="AJ834">
        <v>0</v>
      </c>
      <c r="AK834">
        <v>10</v>
      </c>
      <c r="AL834" t="s">
        <v>212</v>
      </c>
      <c r="AM834" t="s">
        <v>1813</v>
      </c>
      <c r="AN834" t="s">
        <v>11731</v>
      </c>
      <c r="AO834" t="s">
        <v>11732</v>
      </c>
      <c r="AP834" t="s">
        <v>11733</v>
      </c>
      <c r="AQ834" t="s">
        <v>74</v>
      </c>
      <c r="AR834" t="s">
        <v>11734</v>
      </c>
      <c r="AS834" t="s">
        <v>11735</v>
      </c>
      <c r="AT834" t="s">
        <v>74</v>
      </c>
      <c r="AU834">
        <v>2005</v>
      </c>
      <c r="AV834">
        <v>51</v>
      </c>
      <c r="AW834">
        <v>175</v>
      </c>
      <c r="AX834" t="s">
        <v>74</v>
      </c>
      <c r="AY834" t="s">
        <v>74</v>
      </c>
      <c r="AZ834" t="s">
        <v>74</v>
      </c>
      <c r="BA834" t="s">
        <v>74</v>
      </c>
      <c r="BB834">
        <v>611</v>
      </c>
      <c r="BC834">
        <v>619</v>
      </c>
      <c r="BD834" t="s">
        <v>74</v>
      </c>
      <c r="BE834" t="s">
        <v>11873</v>
      </c>
      <c r="BF834" t="str">
        <f>HYPERLINK("http://dx.doi.org/10.3189/172756505781829098","http://dx.doi.org/10.3189/172756505781829098")</f>
        <v>http://dx.doi.org/10.3189/172756505781829098</v>
      </c>
      <c r="BG834" t="s">
        <v>74</v>
      </c>
      <c r="BH834" t="s">
        <v>74</v>
      </c>
      <c r="BI834">
        <v>9</v>
      </c>
      <c r="BJ834" t="s">
        <v>242</v>
      </c>
      <c r="BK834" t="s">
        <v>95</v>
      </c>
      <c r="BL834" t="s">
        <v>243</v>
      </c>
      <c r="BM834" t="s">
        <v>11843</v>
      </c>
      <c r="BN834" t="s">
        <v>74</v>
      </c>
      <c r="BO834" t="s">
        <v>539</v>
      </c>
      <c r="BP834" t="s">
        <v>74</v>
      </c>
      <c r="BQ834" t="s">
        <v>74</v>
      </c>
      <c r="BR834" t="s">
        <v>97</v>
      </c>
      <c r="BS834" t="s">
        <v>11874</v>
      </c>
      <c r="BT834" t="str">
        <f>HYPERLINK("https%3A%2F%2Fwww.webofscience.com%2Fwos%2Fwoscc%2Ffull-record%2FWOS:000240608800011","View Full Record in Web of Science")</f>
        <v>View Full Record in Web of Science</v>
      </c>
    </row>
    <row r="835" spans="1:72" x14ac:dyDescent="0.15">
      <c r="A835" t="s">
        <v>72</v>
      </c>
      <c r="B835" t="s">
        <v>11875</v>
      </c>
      <c r="C835" t="s">
        <v>74</v>
      </c>
      <c r="D835" t="s">
        <v>74</v>
      </c>
      <c r="E835" t="s">
        <v>74</v>
      </c>
      <c r="F835" t="s">
        <v>11875</v>
      </c>
      <c r="G835" t="s">
        <v>74</v>
      </c>
      <c r="H835" t="s">
        <v>74</v>
      </c>
      <c r="I835" t="s">
        <v>11876</v>
      </c>
      <c r="J835" t="s">
        <v>3560</v>
      </c>
      <c r="K835" t="s">
        <v>74</v>
      </c>
      <c r="L835" t="s">
        <v>74</v>
      </c>
      <c r="M835" t="s">
        <v>77</v>
      </c>
      <c r="N835" t="s">
        <v>78</v>
      </c>
      <c r="O835" t="s">
        <v>74</v>
      </c>
      <c r="P835" t="s">
        <v>74</v>
      </c>
      <c r="Q835" t="s">
        <v>74</v>
      </c>
      <c r="R835" t="s">
        <v>74</v>
      </c>
      <c r="S835" t="s">
        <v>74</v>
      </c>
      <c r="T835" t="s">
        <v>74</v>
      </c>
      <c r="U835" t="s">
        <v>74</v>
      </c>
      <c r="V835" t="s">
        <v>11877</v>
      </c>
      <c r="W835" t="s">
        <v>11878</v>
      </c>
      <c r="X835" t="s">
        <v>11879</v>
      </c>
      <c r="Y835" t="s">
        <v>11880</v>
      </c>
      <c r="Z835" t="s">
        <v>11881</v>
      </c>
      <c r="AA835" t="s">
        <v>74</v>
      </c>
      <c r="AB835" t="s">
        <v>74</v>
      </c>
      <c r="AC835" t="s">
        <v>74</v>
      </c>
      <c r="AD835" t="s">
        <v>74</v>
      </c>
      <c r="AE835" t="s">
        <v>74</v>
      </c>
      <c r="AF835" t="s">
        <v>74</v>
      </c>
      <c r="AG835">
        <v>56</v>
      </c>
      <c r="AH835">
        <v>12</v>
      </c>
      <c r="AI835">
        <v>15</v>
      </c>
      <c r="AJ835">
        <v>0</v>
      </c>
      <c r="AK835">
        <v>3</v>
      </c>
      <c r="AL835" t="s">
        <v>11882</v>
      </c>
      <c r="AM835" t="s">
        <v>395</v>
      </c>
      <c r="AN835" t="s">
        <v>11883</v>
      </c>
      <c r="AO835" t="s">
        <v>3567</v>
      </c>
      <c r="AP835" t="s">
        <v>11884</v>
      </c>
      <c r="AQ835" t="s">
        <v>74</v>
      </c>
      <c r="AR835" t="s">
        <v>3568</v>
      </c>
      <c r="AS835" t="s">
        <v>3569</v>
      </c>
      <c r="AT835" t="s">
        <v>9676</v>
      </c>
      <c r="AU835">
        <v>2005</v>
      </c>
      <c r="AV835">
        <v>33</v>
      </c>
      <c r="AW835">
        <v>1</v>
      </c>
      <c r="AX835" t="s">
        <v>74</v>
      </c>
      <c r="AY835" t="s">
        <v>74</v>
      </c>
      <c r="AZ835" t="s">
        <v>74</v>
      </c>
      <c r="BA835" t="s">
        <v>74</v>
      </c>
      <c r="BB835">
        <v>93</v>
      </c>
      <c r="BC835">
        <v>114</v>
      </c>
      <c r="BD835" t="s">
        <v>74</v>
      </c>
      <c r="BE835" t="s">
        <v>11885</v>
      </c>
      <c r="BF835" t="str">
        <f>HYPERLINK("http://dx.doi.org/10.1080/0308653042000329030","http://dx.doi.org/10.1080/0308653042000329030")</f>
        <v>http://dx.doi.org/10.1080/0308653042000329030</v>
      </c>
      <c r="BG835" t="s">
        <v>74</v>
      </c>
      <c r="BH835" t="s">
        <v>74</v>
      </c>
      <c r="BI835">
        <v>22</v>
      </c>
      <c r="BJ835" t="s">
        <v>3570</v>
      </c>
      <c r="BK835" t="s">
        <v>359</v>
      </c>
      <c r="BL835" t="s">
        <v>3570</v>
      </c>
      <c r="BM835" t="s">
        <v>11886</v>
      </c>
      <c r="BN835" t="s">
        <v>74</v>
      </c>
      <c r="BO835" t="s">
        <v>74</v>
      </c>
      <c r="BP835" t="s">
        <v>74</v>
      </c>
      <c r="BQ835" t="s">
        <v>74</v>
      </c>
      <c r="BR835" t="s">
        <v>97</v>
      </c>
      <c r="BS835" t="s">
        <v>11887</v>
      </c>
      <c r="BT835" t="str">
        <f>HYPERLINK("https%3A%2F%2Fwww.webofscience.com%2Fwos%2Fwoscc%2Ffull-record%2FWOS:000227480500005","View Full Record in Web of Science")</f>
        <v>View Full Record in Web of Science</v>
      </c>
    </row>
    <row r="836" spans="1:72" x14ac:dyDescent="0.15">
      <c r="A836" t="s">
        <v>72</v>
      </c>
      <c r="B836" t="s">
        <v>11888</v>
      </c>
      <c r="C836" t="s">
        <v>74</v>
      </c>
      <c r="D836" t="s">
        <v>74</v>
      </c>
      <c r="E836" t="s">
        <v>74</v>
      </c>
      <c r="F836" t="s">
        <v>11888</v>
      </c>
      <c r="G836" t="s">
        <v>74</v>
      </c>
      <c r="H836" t="s">
        <v>74</v>
      </c>
      <c r="I836" t="s">
        <v>11889</v>
      </c>
      <c r="J836" t="s">
        <v>11890</v>
      </c>
      <c r="K836" t="s">
        <v>74</v>
      </c>
      <c r="L836" t="s">
        <v>74</v>
      </c>
      <c r="M836" t="s">
        <v>77</v>
      </c>
      <c r="N836" t="s">
        <v>78</v>
      </c>
      <c r="O836" t="s">
        <v>74</v>
      </c>
      <c r="P836" t="s">
        <v>74</v>
      </c>
      <c r="Q836" t="s">
        <v>74</v>
      </c>
      <c r="R836" t="s">
        <v>74</v>
      </c>
      <c r="S836" t="s">
        <v>74</v>
      </c>
      <c r="T836" t="s">
        <v>11891</v>
      </c>
      <c r="U836" t="s">
        <v>11892</v>
      </c>
      <c r="V836" t="s">
        <v>11893</v>
      </c>
      <c r="W836" t="s">
        <v>11894</v>
      </c>
      <c r="X836" t="s">
        <v>2134</v>
      </c>
      <c r="Y836" t="s">
        <v>11895</v>
      </c>
      <c r="Z836" t="s">
        <v>2136</v>
      </c>
      <c r="AA836" t="s">
        <v>2137</v>
      </c>
      <c r="AB836" t="s">
        <v>74</v>
      </c>
      <c r="AC836" t="s">
        <v>74</v>
      </c>
      <c r="AD836" t="s">
        <v>74</v>
      </c>
      <c r="AE836" t="s">
        <v>74</v>
      </c>
      <c r="AF836" t="s">
        <v>74</v>
      </c>
      <c r="AG836">
        <v>64</v>
      </c>
      <c r="AH836">
        <v>11</v>
      </c>
      <c r="AI836">
        <v>13</v>
      </c>
      <c r="AJ836">
        <v>0</v>
      </c>
      <c r="AK836">
        <v>7</v>
      </c>
      <c r="AL836" t="s">
        <v>255</v>
      </c>
      <c r="AM836" t="s">
        <v>256</v>
      </c>
      <c r="AN836" t="s">
        <v>257</v>
      </c>
      <c r="AO836" t="s">
        <v>11896</v>
      </c>
      <c r="AP836" t="s">
        <v>11897</v>
      </c>
      <c r="AQ836" t="s">
        <v>74</v>
      </c>
      <c r="AR836" t="s">
        <v>11898</v>
      </c>
      <c r="AS836" t="s">
        <v>11899</v>
      </c>
      <c r="AT836" t="s">
        <v>9676</v>
      </c>
      <c r="AU836">
        <v>2005</v>
      </c>
      <c r="AV836">
        <v>51</v>
      </c>
      <c r="AW836">
        <v>1</v>
      </c>
      <c r="AX836" t="s">
        <v>74</v>
      </c>
      <c r="AY836" t="s">
        <v>74</v>
      </c>
      <c r="AZ836" t="s">
        <v>74</v>
      </c>
      <c r="BA836" t="s">
        <v>74</v>
      </c>
      <c r="BB836">
        <v>87</v>
      </c>
      <c r="BC836">
        <v>97</v>
      </c>
      <c r="BD836" t="s">
        <v>74</v>
      </c>
      <c r="BE836" t="s">
        <v>11900</v>
      </c>
      <c r="BF836" t="str">
        <f>HYPERLINK("http://dx.doi.org/10.1016/j.jinsphys.2004.11.011","http://dx.doi.org/10.1016/j.jinsphys.2004.11.011")</f>
        <v>http://dx.doi.org/10.1016/j.jinsphys.2004.11.011</v>
      </c>
      <c r="BG836" t="s">
        <v>74</v>
      </c>
      <c r="BH836" t="s">
        <v>74</v>
      </c>
      <c r="BI836">
        <v>11</v>
      </c>
      <c r="BJ836" t="s">
        <v>11901</v>
      </c>
      <c r="BK836" t="s">
        <v>95</v>
      </c>
      <c r="BL836" t="s">
        <v>11901</v>
      </c>
      <c r="BM836" t="s">
        <v>11902</v>
      </c>
      <c r="BN836">
        <v>15686650</v>
      </c>
      <c r="BO836" t="s">
        <v>74</v>
      </c>
      <c r="BP836" t="s">
        <v>74</v>
      </c>
      <c r="BQ836" t="s">
        <v>74</v>
      </c>
      <c r="BR836" t="s">
        <v>97</v>
      </c>
      <c r="BS836" t="s">
        <v>11903</v>
      </c>
      <c r="BT836" t="str">
        <f>HYPERLINK("https%3A%2F%2Fwww.webofscience.com%2Fwos%2Fwoscc%2Ffull-record%2FWOS:000227084000011","View Full Record in Web of Science")</f>
        <v>View Full Record in Web of Science</v>
      </c>
    </row>
    <row r="837" spans="1:72" x14ac:dyDescent="0.15">
      <c r="A837" t="s">
        <v>72</v>
      </c>
      <c r="B837" t="s">
        <v>11904</v>
      </c>
      <c r="C837" t="s">
        <v>74</v>
      </c>
      <c r="D837" t="s">
        <v>74</v>
      </c>
      <c r="E837" t="s">
        <v>74</v>
      </c>
      <c r="F837" t="s">
        <v>11904</v>
      </c>
      <c r="G837" t="s">
        <v>74</v>
      </c>
      <c r="H837" t="s">
        <v>74</v>
      </c>
      <c r="I837" t="s">
        <v>11905</v>
      </c>
      <c r="J837" t="s">
        <v>11906</v>
      </c>
      <c r="K837" t="s">
        <v>74</v>
      </c>
      <c r="L837" t="s">
        <v>74</v>
      </c>
      <c r="M837" t="s">
        <v>11701</v>
      </c>
      <c r="N837" t="s">
        <v>78</v>
      </c>
      <c r="O837" t="s">
        <v>74</v>
      </c>
      <c r="P837" t="s">
        <v>74</v>
      </c>
      <c r="Q837" t="s">
        <v>74</v>
      </c>
      <c r="R837" t="s">
        <v>74</v>
      </c>
      <c r="S837" t="s">
        <v>74</v>
      </c>
      <c r="T837" t="s">
        <v>11907</v>
      </c>
      <c r="U837" t="s">
        <v>11908</v>
      </c>
      <c r="V837" t="s">
        <v>74</v>
      </c>
      <c r="W837" t="s">
        <v>11909</v>
      </c>
      <c r="X837" t="s">
        <v>11910</v>
      </c>
      <c r="Y837" t="s">
        <v>11911</v>
      </c>
      <c r="Z837" t="s">
        <v>11912</v>
      </c>
      <c r="AA837" t="s">
        <v>74</v>
      </c>
      <c r="AB837" t="s">
        <v>74</v>
      </c>
      <c r="AC837" t="s">
        <v>74</v>
      </c>
      <c r="AD837" t="s">
        <v>74</v>
      </c>
      <c r="AE837" t="s">
        <v>74</v>
      </c>
      <c r="AF837" t="s">
        <v>74</v>
      </c>
      <c r="AG837">
        <v>12</v>
      </c>
      <c r="AH837">
        <v>0</v>
      </c>
      <c r="AI837">
        <v>0</v>
      </c>
      <c r="AJ837">
        <v>0</v>
      </c>
      <c r="AK837">
        <v>0</v>
      </c>
      <c r="AL837" t="s">
        <v>11913</v>
      </c>
      <c r="AM837" t="s">
        <v>2899</v>
      </c>
      <c r="AN837" t="s">
        <v>11914</v>
      </c>
      <c r="AO837" t="s">
        <v>11915</v>
      </c>
      <c r="AP837" t="s">
        <v>74</v>
      </c>
      <c r="AQ837" t="s">
        <v>74</v>
      </c>
      <c r="AR837" t="s">
        <v>11916</v>
      </c>
      <c r="AS837" t="s">
        <v>11917</v>
      </c>
      <c r="AT837" t="s">
        <v>74</v>
      </c>
      <c r="AU837">
        <v>2005</v>
      </c>
      <c r="AV837">
        <v>50</v>
      </c>
      <c r="AW837">
        <v>10</v>
      </c>
      <c r="AX837" t="s">
        <v>74</v>
      </c>
      <c r="AY837" t="s">
        <v>74</v>
      </c>
      <c r="AZ837" t="s">
        <v>74</v>
      </c>
      <c r="BA837" t="s">
        <v>74</v>
      </c>
      <c r="BB837">
        <v>725</v>
      </c>
      <c r="BC837">
        <v>730</v>
      </c>
      <c r="BD837" t="s">
        <v>74</v>
      </c>
      <c r="BE837" t="s">
        <v>74</v>
      </c>
      <c r="BF837" t="s">
        <v>74</v>
      </c>
      <c r="BG837" t="s">
        <v>74</v>
      </c>
      <c r="BH837" t="s">
        <v>74</v>
      </c>
      <c r="BI837">
        <v>6</v>
      </c>
      <c r="BJ837" t="s">
        <v>550</v>
      </c>
      <c r="BK837" t="s">
        <v>95</v>
      </c>
      <c r="BL837" t="s">
        <v>551</v>
      </c>
      <c r="BM837" t="s">
        <v>11918</v>
      </c>
      <c r="BN837" t="s">
        <v>74</v>
      </c>
      <c r="BO837" t="s">
        <v>74</v>
      </c>
      <c r="BP837" t="s">
        <v>74</v>
      </c>
      <c r="BQ837" t="s">
        <v>74</v>
      </c>
      <c r="BR837" t="s">
        <v>97</v>
      </c>
      <c r="BS837" t="s">
        <v>11919</v>
      </c>
      <c r="BT837" t="str">
        <f>HYPERLINK("https%3A%2F%2Fwww.webofscience.com%2Fwos%2Fwoscc%2Ffull-record%2FWOS:000233674500007","View Full Record in Web of Science")</f>
        <v>View Full Record in Web of Science</v>
      </c>
    </row>
    <row r="838" spans="1:72" x14ac:dyDescent="0.15">
      <c r="A838" t="s">
        <v>72</v>
      </c>
      <c r="B838" t="s">
        <v>11920</v>
      </c>
      <c r="C838" t="s">
        <v>74</v>
      </c>
      <c r="D838" t="s">
        <v>74</v>
      </c>
      <c r="E838" t="s">
        <v>74</v>
      </c>
      <c r="F838" t="s">
        <v>11920</v>
      </c>
      <c r="G838" t="s">
        <v>74</v>
      </c>
      <c r="H838" t="s">
        <v>74</v>
      </c>
      <c r="I838" t="s">
        <v>11921</v>
      </c>
      <c r="J838" t="s">
        <v>11922</v>
      </c>
      <c r="K838" t="s">
        <v>74</v>
      </c>
      <c r="L838" t="s">
        <v>74</v>
      </c>
      <c r="M838" t="s">
        <v>77</v>
      </c>
      <c r="N838" t="s">
        <v>78</v>
      </c>
      <c r="O838" t="s">
        <v>74</v>
      </c>
      <c r="P838" t="s">
        <v>74</v>
      </c>
      <c r="Q838" t="s">
        <v>74</v>
      </c>
      <c r="R838" t="s">
        <v>74</v>
      </c>
      <c r="S838" t="s">
        <v>74</v>
      </c>
      <c r="T838" t="s">
        <v>11923</v>
      </c>
      <c r="U838" t="s">
        <v>11924</v>
      </c>
      <c r="V838" t="s">
        <v>11925</v>
      </c>
      <c r="W838" t="s">
        <v>11926</v>
      </c>
      <c r="X838" t="s">
        <v>11927</v>
      </c>
      <c r="Y838" t="s">
        <v>11928</v>
      </c>
      <c r="Z838" t="s">
        <v>11929</v>
      </c>
      <c r="AA838" t="s">
        <v>11930</v>
      </c>
      <c r="AB838" t="s">
        <v>11931</v>
      </c>
      <c r="AC838" t="s">
        <v>74</v>
      </c>
      <c r="AD838" t="s">
        <v>74</v>
      </c>
      <c r="AE838" t="s">
        <v>74</v>
      </c>
      <c r="AF838" t="s">
        <v>74</v>
      </c>
      <c r="AG838">
        <v>35</v>
      </c>
      <c r="AH838">
        <v>48</v>
      </c>
      <c r="AI838">
        <v>48</v>
      </c>
      <c r="AJ838">
        <v>0</v>
      </c>
      <c r="AK838">
        <v>5</v>
      </c>
      <c r="AL838" t="s">
        <v>435</v>
      </c>
      <c r="AM838" t="s">
        <v>436</v>
      </c>
      <c r="AN838" t="s">
        <v>437</v>
      </c>
      <c r="AO838" t="s">
        <v>11932</v>
      </c>
      <c r="AP838" t="s">
        <v>11933</v>
      </c>
      <c r="AQ838" t="s">
        <v>74</v>
      </c>
      <c r="AR838" t="s">
        <v>11934</v>
      </c>
      <c r="AS838" t="s">
        <v>11935</v>
      </c>
      <c r="AT838" t="s">
        <v>9676</v>
      </c>
      <c r="AU838">
        <v>2005</v>
      </c>
      <c r="AV838">
        <v>53</v>
      </c>
      <c r="AW838" t="s">
        <v>887</v>
      </c>
      <c r="AX838" t="s">
        <v>74</v>
      </c>
      <c r="AY838" t="s">
        <v>74</v>
      </c>
      <c r="AZ838" t="s">
        <v>74</v>
      </c>
      <c r="BA838" t="s">
        <v>74</v>
      </c>
      <c r="BB838">
        <v>143</v>
      </c>
      <c r="BC838">
        <v>167</v>
      </c>
      <c r="BD838" t="s">
        <v>74</v>
      </c>
      <c r="BE838" t="s">
        <v>11936</v>
      </c>
      <c r="BF838" t="str">
        <f>HYPERLINK("http://dx.doi.org/10.1016/j.jmarsys.2004.05.005","http://dx.doi.org/10.1016/j.jmarsys.2004.05.005")</f>
        <v>http://dx.doi.org/10.1016/j.jmarsys.2004.05.005</v>
      </c>
      <c r="BG838" t="s">
        <v>74</v>
      </c>
      <c r="BH838" t="s">
        <v>74</v>
      </c>
      <c r="BI838">
        <v>25</v>
      </c>
      <c r="BJ838" t="s">
        <v>11937</v>
      </c>
      <c r="BK838" t="s">
        <v>95</v>
      </c>
      <c r="BL838" t="s">
        <v>11938</v>
      </c>
      <c r="BM838" t="s">
        <v>11939</v>
      </c>
      <c r="BN838" t="s">
        <v>74</v>
      </c>
      <c r="BO838" t="s">
        <v>74</v>
      </c>
      <c r="BP838" t="s">
        <v>74</v>
      </c>
      <c r="BQ838" t="s">
        <v>74</v>
      </c>
      <c r="BR838" t="s">
        <v>97</v>
      </c>
      <c r="BS838" t="s">
        <v>11940</v>
      </c>
      <c r="BT838" t="str">
        <f>HYPERLINK("https%3A%2F%2Fwww.webofscience.com%2Fwos%2Fwoscc%2Ffull-record%2FWOS:000226155200008","View Full Record in Web of Science")</f>
        <v>View Full Record in Web of Science</v>
      </c>
    </row>
    <row r="839" spans="1:72" x14ac:dyDescent="0.15">
      <c r="A839" t="s">
        <v>72</v>
      </c>
      <c r="B839" t="s">
        <v>11941</v>
      </c>
      <c r="C839" t="s">
        <v>74</v>
      </c>
      <c r="D839" t="s">
        <v>74</v>
      </c>
      <c r="E839" t="s">
        <v>74</v>
      </c>
      <c r="F839" t="s">
        <v>11941</v>
      </c>
      <c r="G839" t="s">
        <v>74</v>
      </c>
      <c r="H839" t="s">
        <v>74</v>
      </c>
      <c r="I839" t="s">
        <v>11942</v>
      </c>
      <c r="J839" t="s">
        <v>11943</v>
      </c>
      <c r="K839" t="s">
        <v>74</v>
      </c>
      <c r="L839" t="s">
        <v>74</v>
      </c>
      <c r="M839" t="s">
        <v>77</v>
      </c>
      <c r="N839" t="s">
        <v>78</v>
      </c>
      <c r="O839" t="s">
        <v>74</v>
      </c>
      <c r="P839" t="s">
        <v>74</v>
      </c>
      <c r="Q839" t="s">
        <v>74</v>
      </c>
      <c r="R839" t="s">
        <v>74</v>
      </c>
      <c r="S839" t="s">
        <v>74</v>
      </c>
      <c r="T839" t="s">
        <v>11944</v>
      </c>
      <c r="U839" t="s">
        <v>11945</v>
      </c>
      <c r="V839" t="s">
        <v>11946</v>
      </c>
      <c r="W839" t="s">
        <v>11947</v>
      </c>
      <c r="X839" t="s">
        <v>11948</v>
      </c>
      <c r="Y839" t="s">
        <v>11949</v>
      </c>
      <c r="Z839" t="s">
        <v>74</v>
      </c>
      <c r="AA839" t="s">
        <v>74</v>
      </c>
      <c r="AB839" t="s">
        <v>74</v>
      </c>
      <c r="AC839" t="s">
        <v>74</v>
      </c>
      <c r="AD839" t="s">
        <v>74</v>
      </c>
      <c r="AE839" t="s">
        <v>74</v>
      </c>
      <c r="AF839" t="s">
        <v>74</v>
      </c>
      <c r="AG839">
        <v>7</v>
      </c>
      <c r="AH839">
        <v>6</v>
      </c>
      <c r="AI839">
        <v>10</v>
      </c>
      <c r="AJ839">
        <v>1</v>
      </c>
      <c r="AK839">
        <v>5</v>
      </c>
      <c r="AL839" t="s">
        <v>11950</v>
      </c>
      <c r="AM839" t="s">
        <v>11951</v>
      </c>
      <c r="AN839" t="s">
        <v>11952</v>
      </c>
      <c r="AO839" t="s">
        <v>11953</v>
      </c>
      <c r="AP839" t="s">
        <v>11954</v>
      </c>
      <c r="AQ839" t="s">
        <v>74</v>
      </c>
      <c r="AR839" t="s">
        <v>11955</v>
      </c>
      <c r="AS839" t="s">
        <v>11956</v>
      </c>
      <c r="AT839" t="s">
        <v>9676</v>
      </c>
      <c r="AU839">
        <v>2005</v>
      </c>
      <c r="AV839">
        <v>5</v>
      </c>
      <c r="AW839">
        <v>1</v>
      </c>
      <c r="AX839" t="s">
        <v>74</v>
      </c>
      <c r="AY839" t="s">
        <v>74</v>
      </c>
      <c r="AZ839" t="s">
        <v>74</v>
      </c>
      <c r="BA839" t="s">
        <v>74</v>
      </c>
      <c r="BB839">
        <v>96</v>
      </c>
      <c r="BC839">
        <v>99</v>
      </c>
      <c r="BD839" t="s">
        <v>74</v>
      </c>
      <c r="BE839" t="s">
        <v>11957</v>
      </c>
      <c r="BF839" t="str">
        <f>HYPERLINK("http://dx.doi.org/10.1166/jnn.2005.016","http://dx.doi.org/10.1166/jnn.2005.016")</f>
        <v>http://dx.doi.org/10.1166/jnn.2005.016</v>
      </c>
      <c r="BG839" t="s">
        <v>74</v>
      </c>
      <c r="BH839" t="s">
        <v>74</v>
      </c>
      <c r="BI839">
        <v>4</v>
      </c>
      <c r="BJ839" t="s">
        <v>11958</v>
      </c>
      <c r="BK839" t="s">
        <v>95</v>
      </c>
      <c r="BL839" t="s">
        <v>11959</v>
      </c>
      <c r="BM839" t="s">
        <v>11960</v>
      </c>
      <c r="BN839">
        <v>15762167</v>
      </c>
      <c r="BO839" t="s">
        <v>74</v>
      </c>
      <c r="BP839" t="s">
        <v>74</v>
      </c>
      <c r="BQ839" t="s">
        <v>74</v>
      </c>
      <c r="BR839" t="s">
        <v>97</v>
      </c>
      <c r="BS839" t="s">
        <v>11961</v>
      </c>
      <c r="BT839" t="str">
        <f>HYPERLINK("https%3A%2F%2Fwww.webofscience.com%2Fwos%2Fwoscc%2Ffull-record%2FWOS:000226591300014","View Full Record in Web of Science")</f>
        <v>View Full Record in Web of Science</v>
      </c>
    </row>
    <row r="840" spans="1:72" x14ac:dyDescent="0.15">
      <c r="A840" t="s">
        <v>72</v>
      </c>
      <c r="B840" t="s">
        <v>11962</v>
      </c>
      <c r="C840" t="s">
        <v>74</v>
      </c>
      <c r="D840" t="s">
        <v>74</v>
      </c>
      <c r="E840" t="s">
        <v>74</v>
      </c>
      <c r="F840" t="s">
        <v>11962</v>
      </c>
      <c r="G840" t="s">
        <v>74</v>
      </c>
      <c r="H840" t="s">
        <v>74</v>
      </c>
      <c r="I840" t="s">
        <v>11963</v>
      </c>
      <c r="J840" t="s">
        <v>8548</v>
      </c>
      <c r="K840" t="s">
        <v>74</v>
      </c>
      <c r="L840" t="s">
        <v>74</v>
      </c>
      <c r="M840" t="s">
        <v>77</v>
      </c>
      <c r="N840" t="s">
        <v>78</v>
      </c>
      <c r="O840" t="s">
        <v>74</v>
      </c>
      <c r="P840" t="s">
        <v>74</v>
      </c>
      <c r="Q840" t="s">
        <v>74</v>
      </c>
      <c r="R840" t="s">
        <v>74</v>
      </c>
      <c r="S840" t="s">
        <v>74</v>
      </c>
      <c r="T840" t="s">
        <v>11964</v>
      </c>
      <c r="U840" t="s">
        <v>11965</v>
      </c>
      <c r="V840" t="s">
        <v>11966</v>
      </c>
      <c r="W840" t="s">
        <v>11967</v>
      </c>
      <c r="X840" t="s">
        <v>8935</v>
      </c>
      <c r="Y840" t="s">
        <v>11968</v>
      </c>
      <c r="Z840" t="s">
        <v>11969</v>
      </c>
      <c r="AA840" t="s">
        <v>74</v>
      </c>
      <c r="AB840" t="s">
        <v>74</v>
      </c>
      <c r="AC840" t="s">
        <v>74</v>
      </c>
      <c r="AD840" t="s">
        <v>74</v>
      </c>
      <c r="AE840" t="s">
        <v>74</v>
      </c>
      <c r="AF840" t="s">
        <v>74</v>
      </c>
      <c r="AG840">
        <v>27</v>
      </c>
      <c r="AH840">
        <v>13</v>
      </c>
      <c r="AI840">
        <v>13</v>
      </c>
      <c r="AJ840">
        <v>0</v>
      </c>
      <c r="AK840">
        <v>0</v>
      </c>
      <c r="AL840" t="s">
        <v>394</v>
      </c>
      <c r="AM840" t="s">
        <v>395</v>
      </c>
      <c r="AN840" t="s">
        <v>11970</v>
      </c>
      <c r="AO840" t="s">
        <v>8553</v>
      </c>
      <c r="AP840" t="s">
        <v>74</v>
      </c>
      <c r="AQ840" t="s">
        <v>74</v>
      </c>
      <c r="AR840" t="s">
        <v>8555</v>
      </c>
      <c r="AS840" t="s">
        <v>8556</v>
      </c>
      <c r="AT840" t="s">
        <v>9676</v>
      </c>
      <c r="AU840">
        <v>2005</v>
      </c>
      <c r="AV840">
        <v>39</v>
      </c>
      <c r="AW840">
        <v>3</v>
      </c>
      <c r="AX840" t="s">
        <v>74</v>
      </c>
      <c r="AY840" t="s">
        <v>74</v>
      </c>
      <c r="AZ840" t="s">
        <v>74</v>
      </c>
      <c r="BA840" t="s">
        <v>74</v>
      </c>
      <c r="BB840">
        <v>241</v>
      </c>
      <c r="BC840">
        <v>252</v>
      </c>
      <c r="BD840" t="s">
        <v>74</v>
      </c>
      <c r="BE840" t="s">
        <v>11971</v>
      </c>
      <c r="BF840" t="str">
        <f>HYPERLINK("http://dx.doi.org/10.1080/0022293042000195966","http://dx.doi.org/10.1080/0022293042000195966")</f>
        <v>http://dx.doi.org/10.1080/0022293042000195966</v>
      </c>
      <c r="BG840" t="s">
        <v>74</v>
      </c>
      <c r="BH840" t="s">
        <v>74</v>
      </c>
      <c r="BI840">
        <v>12</v>
      </c>
      <c r="BJ840" t="s">
        <v>8558</v>
      </c>
      <c r="BK840" t="s">
        <v>95</v>
      </c>
      <c r="BL840" t="s">
        <v>8559</v>
      </c>
      <c r="BM840" t="s">
        <v>11972</v>
      </c>
      <c r="BN840" t="s">
        <v>74</v>
      </c>
      <c r="BO840" t="s">
        <v>143</v>
      </c>
      <c r="BP840" t="s">
        <v>74</v>
      </c>
      <c r="BQ840" t="s">
        <v>74</v>
      </c>
      <c r="BR840" t="s">
        <v>97</v>
      </c>
      <c r="BS840" t="s">
        <v>11973</v>
      </c>
      <c r="BT840" t="str">
        <f>HYPERLINK("https%3A%2F%2Fwww.webofscience.com%2Fwos%2Fwoscc%2Ffull-record%2FWOS:000226056600001","View Full Record in Web of Science")</f>
        <v>View Full Record in Web of Science</v>
      </c>
    </row>
    <row r="841" spans="1:72" x14ac:dyDescent="0.15">
      <c r="A841" t="s">
        <v>72</v>
      </c>
      <c r="B841" t="s">
        <v>11974</v>
      </c>
      <c r="C841" t="s">
        <v>74</v>
      </c>
      <c r="D841" t="s">
        <v>74</v>
      </c>
      <c r="E841" t="s">
        <v>74</v>
      </c>
      <c r="F841" t="s">
        <v>11974</v>
      </c>
      <c r="G841" t="s">
        <v>74</v>
      </c>
      <c r="H841" t="s">
        <v>74</v>
      </c>
      <c r="I841" t="s">
        <v>11975</v>
      </c>
      <c r="J841" t="s">
        <v>8548</v>
      </c>
      <c r="K841" t="s">
        <v>74</v>
      </c>
      <c r="L841" t="s">
        <v>74</v>
      </c>
      <c r="M841" t="s">
        <v>77</v>
      </c>
      <c r="N841" t="s">
        <v>78</v>
      </c>
      <c r="O841" t="s">
        <v>74</v>
      </c>
      <c r="P841" t="s">
        <v>74</v>
      </c>
      <c r="Q841" t="s">
        <v>74</v>
      </c>
      <c r="R841" t="s">
        <v>74</v>
      </c>
      <c r="S841" t="s">
        <v>74</v>
      </c>
      <c r="T841" t="s">
        <v>11976</v>
      </c>
      <c r="U841" t="s">
        <v>11977</v>
      </c>
      <c r="V841" t="s">
        <v>11978</v>
      </c>
      <c r="W841" t="s">
        <v>11979</v>
      </c>
      <c r="X841" t="s">
        <v>11980</v>
      </c>
      <c r="Y841" t="s">
        <v>11981</v>
      </c>
      <c r="Z841" t="s">
        <v>11982</v>
      </c>
      <c r="AA841" t="s">
        <v>74</v>
      </c>
      <c r="AB841" t="s">
        <v>11983</v>
      </c>
      <c r="AC841" t="s">
        <v>74</v>
      </c>
      <c r="AD841" t="s">
        <v>74</v>
      </c>
      <c r="AE841" t="s">
        <v>74</v>
      </c>
      <c r="AF841" t="s">
        <v>74</v>
      </c>
      <c r="AG841">
        <v>43</v>
      </c>
      <c r="AH841">
        <v>24</v>
      </c>
      <c r="AI841">
        <v>24</v>
      </c>
      <c r="AJ841">
        <v>0</v>
      </c>
      <c r="AK841">
        <v>13</v>
      </c>
      <c r="AL841" t="s">
        <v>394</v>
      </c>
      <c r="AM841" t="s">
        <v>395</v>
      </c>
      <c r="AN841" t="s">
        <v>396</v>
      </c>
      <c r="AO841" t="s">
        <v>8553</v>
      </c>
      <c r="AP841" t="s">
        <v>8554</v>
      </c>
      <c r="AQ841" t="s">
        <v>74</v>
      </c>
      <c r="AR841" t="s">
        <v>8555</v>
      </c>
      <c r="AS841" t="s">
        <v>8556</v>
      </c>
      <c r="AT841" t="s">
        <v>74</v>
      </c>
      <c r="AU841">
        <v>2005</v>
      </c>
      <c r="AV841">
        <v>39</v>
      </c>
      <c r="AW841">
        <v>7</v>
      </c>
      <c r="AX841" t="s">
        <v>74</v>
      </c>
      <c r="AY841" t="s">
        <v>74</v>
      </c>
      <c r="AZ841" t="s">
        <v>74</v>
      </c>
      <c r="BA841" t="s">
        <v>74</v>
      </c>
      <c r="BB841">
        <v>539</v>
      </c>
      <c r="BC841">
        <v>554</v>
      </c>
      <c r="BD841" t="s">
        <v>74</v>
      </c>
      <c r="BE841" t="s">
        <v>11984</v>
      </c>
      <c r="BF841" t="str">
        <f>HYPERLINK("http://dx.doi.org/10.1080/00222930400001350","http://dx.doi.org/10.1080/00222930400001350")</f>
        <v>http://dx.doi.org/10.1080/00222930400001350</v>
      </c>
      <c r="BG841" t="s">
        <v>74</v>
      </c>
      <c r="BH841" t="s">
        <v>74</v>
      </c>
      <c r="BI841">
        <v>16</v>
      </c>
      <c r="BJ841" t="s">
        <v>8558</v>
      </c>
      <c r="BK841" t="s">
        <v>95</v>
      </c>
      <c r="BL841" t="s">
        <v>8559</v>
      </c>
      <c r="BM841" t="s">
        <v>11985</v>
      </c>
      <c r="BN841" t="s">
        <v>74</v>
      </c>
      <c r="BO841" t="s">
        <v>143</v>
      </c>
      <c r="BP841" t="s">
        <v>74</v>
      </c>
      <c r="BQ841" t="s">
        <v>74</v>
      </c>
      <c r="BR841" t="s">
        <v>97</v>
      </c>
      <c r="BS841" t="s">
        <v>11986</v>
      </c>
      <c r="BT841" t="str">
        <f>HYPERLINK("https%3A%2F%2Fwww.webofscience.com%2Fwos%2Fwoscc%2Ffull-record%2FWOS:000226666000003","View Full Record in Web of Science")</f>
        <v>View Full Record in Web of Science</v>
      </c>
    </row>
    <row r="842" spans="1:72" x14ac:dyDescent="0.15">
      <c r="A842" t="s">
        <v>72</v>
      </c>
      <c r="B842" t="s">
        <v>11987</v>
      </c>
      <c r="C842" t="s">
        <v>74</v>
      </c>
      <c r="D842" t="s">
        <v>74</v>
      </c>
      <c r="E842" t="s">
        <v>74</v>
      </c>
      <c r="F842" t="s">
        <v>11987</v>
      </c>
      <c r="G842" t="s">
        <v>74</v>
      </c>
      <c r="H842" t="s">
        <v>74</v>
      </c>
      <c r="I842" t="s">
        <v>11988</v>
      </c>
      <c r="J842" t="s">
        <v>8548</v>
      </c>
      <c r="K842" t="s">
        <v>74</v>
      </c>
      <c r="L842" t="s">
        <v>74</v>
      </c>
      <c r="M842" t="s">
        <v>77</v>
      </c>
      <c r="N842" t="s">
        <v>78</v>
      </c>
      <c r="O842" t="s">
        <v>74</v>
      </c>
      <c r="P842" t="s">
        <v>74</v>
      </c>
      <c r="Q842" t="s">
        <v>74</v>
      </c>
      <c r="R842" t="s">
        <v>74</v>
      </c>
      <c r="S842" t="s">
        <v>74</v>
      </c>
      <c r="T842" t="s">
        <v>11989</v>
      </c>
      <c r="U842" t="s">
        <v>11990</v>
      </c>
      <c r="V842" t="s">
        <v>11991</v>
      </c>
      <c r="W842" t="s">
        <v>11992</v>
      </c>
      <c r="X842" t="s">
        <v>11993</v>
      </c>
      <c r="Y842" t="s">
        <v>11994</v>
      </c>
      <c r="Z842" t="s">
        <v>11995</v>
      </c>
      <c r="AA842" t="s">
        <v>11996</v>
      </c>
      <c r="AB842" t="s">
        <v>11997</v>
      </c>
      <c r="AC842" t="s">
        <v>74</v>
      </c>
      <c r="AD842" t="s">
        <v>74</v>
      </c>
      <c r="AE842" t="s">
        <v>74</v>
      </c>
      <c r="AF842" t="s">
        <v>74</v>
      </c>
      <c r="AG842">
        <v>26</v>
      </c>
      <c r="AH842">
        <v>22</v>
      </c>
      <c r="AI842">
        <v>22</v>
      </c>
      <c r="AJ842">
        <v>0</v>
      </c>
      <c r="AK842">
        <v>0</v>
      </c>
      <c r="AL842" t="s">
        <v>394</v>
      </c>
      <c r="AM842" t="s">
        <v>395</v>
      </c>
      <c r="AN842" t="s">
        <v>396</v>
      </c>
      <c r="AO842" t="s">
        <v>8553</v>
      </c>
      <c r="AP842" t="s">
        <v>8554</v>
      </c>
      <c r="AQ842" t="s">
        <v>74</v>
      </c>
      <c r="AR842" t="s">
        <v>8555</v>
      </c>
      <c r="AS842" t="s">
        <v>8556</v>
      </c>
      <c r="AT842" t="s">
        <v>74</v>
      </c>
      <c r="AU842">
        <v>2005</v>
      </c>
      <c r="AV842">
        <v>39</v>
      </c>
      <c r="AW842">
        <v>11</v>
      </c>
      <c r="AX842" t="s">
        <v>74</v>
      </c>
      <c r="AY842" t="s">
        <v>74</v>
      </c>
      <c r="AZ842" t="s">
        <v>74</v>
      </c>
      <c r="BA842" t="s">
        <v>74</v>
      </c>
      <c r="BB842">
        <v>795</v>
      </c>
      <c r="BC842">
        <v>818</v>
      </c>
      <c r="BD842" t="s">
        <v>74</v>
      </c>
      <c r="BE842" t="s">
        <v>11998</v>
      </c>
      <c r="BF842" t="str">
        <f>HYPERLINK("http://dx.doi.org/10.1080/00222930400001541","http://dx.doi.org/10.1080/00222930400001541")</f>
        <v>http://dx.doi.org/10.1080/00222930400001541</v>
      </c>
      <c r="BG842" t="s">
        <v>74</v>
      </c>
      <c r="BH842" t="s">
        <v>74</v>
      </c>
      <c r="BI842">
        <v>24</v>
      </c>
      <c r="BJ842" t="s">
        <v>8558</v>
      </c>
      <c r="BK842" t="s">
        <v>95</v>
      </c>
      <c r="BL842" t="s">
        <v>8559</v>
      </c>
      <c r="BM842" t="s">
        <v>11999</v>
      </c>
      <c r="BN842" t="s">
        <v>74</v>
      </c>
      <c r="BO842" t="s">
        <v>143</v>
      </c>
      <c r="BP842" t="s">
        <v>74</v>
      </c>
      <c r="BQ842" t="s">
        <v>74</v>
      </c>
      <c r="BR842" t="s">
        <v>97</v>
      </c>
      <c r="BS842" t="s">
        <v>12000</v>
      </c>
      <c r="BT842" t="str">
        <f>HYPERLINK("https%3A%2F%2Fwww.webofscience.com%2Fwos%2Fwoscc%2Ffull-record%2FWOS:000226836000001","View Full Record in Web of Science")</f>
        <v>View Full Record in Web of Science</v>
      </c>
    </row>
    <row r="843" spans="1:72" x14ac:dyDescent="0.15">
      <c r="A843" t="s">
        <v>72</v>
      </c>
      <c r="B843" t="s">
        <v>12001</v>
      </c>
      <c r="C843" t="s">
        <v>74</v>
      </c>
      <c r="D843" t="s">
        <v>74</v>
      </c>
      <c r="E843" t="s">
        <v>74</v>
      </c>
      <c r="F843" t="s">
        <v>12001</v>
      </c>
      <c r="G843" t="s">
        <v>74</v>
      </c>
      <c r="H843" t="s">
        <v>74</v>
      </c>
      <c r="I843" t="s">
        <v>12002</v>
      </c>
      <c r="J843" t="s">
        <v>8548</v>
      </c>
      <c r="K843" t="s">
        <v>74</v>
      </c>
      <c r="L843" t="s">
        <v>74</v>
      </c>
      <c r="M843" t="s">
        <v>77</v>
      </c>
      <c r="N843" t="s">
        <v>78</v>
      </c>
      <c r="O843" t="s">
        <v>74</v>
      </c>
      <c r="P843" t="s">
        <v>74</v>
      </c>
      <c r="Q843" t="s">
        <v>74</v>
      </c>
      <c r="R843" t="s">
        <v>74</v>
      </c>
      <c r="S843" t="s">
        <v>74</v>
      </c>
      <c r="T843" t="s">
        <v>12003</v>
      </c>
      <c r="U843" t="s">
        <v>12004</v>
      </c>
      <c r="V843" t="s">
        <v>12005</v>
      </c>
      <c r="W843" t="s">
        <v>12006</v>
      </c>
      <c r="X843" t="s">
        <v>12007</v>
      </c>
      <c r="Y843" t="s">
        <v>12008</v>
      </c>
      <c r="Z843" t="s">
        <v>12009</v>
      </c>
      <c r="AA843" t="s">
        <v>74</v>
      </c>
      <c r="AB843" t="s">
        <v>74</v>
      </c>
      <c r="AC843" t="s">
        <v>74</v>
      </c>
      <c r="AD843" t="s">
        <v>74</v>
      </c>
      <c r="AE843" t="s">
        <v>74</v>
      </c>
      <c r="AF843" t="s">
        <v>74</v>
      </c>
      <c r="AG843">
        <v>57</v>
      </c>
      <c r="AH843">
        <v>56</v>
      </c>
      <c r="AI843">
        <v>59</v>
      </c>
      <c r="AJ843">
        <v>0</v>
      </c>
      <c r="AK843">
        <v>11</v>
      </c>
      <c r="AL843" t="s">
        <v>394</v>
      </c>
      <c r="AM843" t="s">
        <v>395</v>
      </c>
      <c r="AN843" t="s">
        <v>396</v>
      </c>
      <c r="AO843" t="s">
        <v>8553</v>
      </c>
      <c r="AP843" t="s">
        <v>8554</v>
      </c>
      <c r="AQ843" t="s">
        <v>74</v>
      </c>
      <c r="AR843" t="s">
        <v>8555</v>
      </c>
      <c r="AS843" t="s">
        <v>8556</v>
      </c>
      <c r="AT843" t="s">
        <v>74</v>
      </c>
      <c r="AU843">
        <v>2005</v>
      </c>
      <c r="AV843">
        <v>39</v>
      </c>
      <c r="AW843">
        <v>13</v>
      </c>
      <c r="AX843" t="s">
        <v>74</v>
      </c>
      <c r="AY843" t="s">
        <v>74</v>
      </c>
      <c r="AZ843" t="s">
        <v>74</v>
      </c>
      <c r="BA843" t="s">
        <v>74</v>
      </c>
      <c r="BB843">
        <v>935</v>
      </c>
      <c r="BC843">
        <v>973</v>
      </c>
      <c r="BD843" t="s">
        <v>74</v>
      </c>
      <c r="BE843" t="s">
        <v>12010</v>
      </c>
      <c r="BF843" t="str">
        <f>HYPERLINK("http://dx.doi.org/10.1080/00222930400001509","http://dx.doi.org/10.1080/00222930400001509")</f>
        <v>http://dx.doi.org/10.1080/00222930400001509</v>
      </c>
      <c r="BG843" t="s">
        <v>74</v>
      </c>
      <c r="BH843" t="s">
        <v>74</v>
      </c>
      <c r="BI843">
        <v>39</v>
      </c>
      <c r="BJ843" t="s">
        <v>8558</v>
      </c>
      <c r="BK843" t="s">
        <v>95</v>
      </c>
      <c r="BL843" t="s">
        <v>8559</v>
      </c>
      <c r="BM843" t="s">
        <v>12011</v>
      </c>
      <c r="BN843" t="s">
        <v>74</v>
      </c>
      <c r="BO843" t="s">
        <v>74</v>
      </c>
      <c r="BP843" t="s">
        <v>74</v>
      </c>
      <c r="BQ843" t="s">
        <v>74</v>
      </c>
      <c r="BR843" t="s">
        <v>97</v>
      </c>
      <c r="BS843" t="s">
        <v>12012</v>
      </c>
      <c r="BT843" t="str">
        <f>HYPERLINK("https%3A%2F%2Fwww.webofscience.com%2Fwos%2Fwoscc%2Ffull-record%2FWOS:000226982500001","View Full Record in Web of Science")</f>
        <v>View Full Record in Web of Science</v>
      </c>
    </row>
    <row r="844" spans="1:72" x14ac:dyDescent="0.15">
      <c r="A844" t="s">
        <v>72</v>
      </c>
      <c r="B844" t="s">
        <v>12013</v>
      </c>
      <c r="C844" t="s">
        <v>74</v>
      </c>
      <c r="D844" t="s">
        <v>74</v>
      </c>
      <c r="E844" t="s">
        <v>74</v>
      </c>
      <c r="F844" t="s">
        <v>12013</v>
      </c>
      <c r="G844" t="s">
        <v>74</v>
      </c>
      <c r="H844" t="s">
        <v>74</v>
      </c>
      <c r="I844" t="s">
        <v>12014</v>
      </c>
      <c r="J844" t="s">
        <v>8548</v>
      </c>
      <c r="K844" t="s">
        <v>74</v>
      </c>
      <c r="L844" t="s">
        <v>74</v>
      </c>
      <c r="M844" t="s">
        <v>77</v>
      </c>
      <c r="N844" t="s">
        <v>78</v>
      </c>
      <c r="O844" t="s">
        <v>74</v>
      </c>
      <c r="P844" t="s">
        <v>74</v>
      </c>
      <c r="Q844" t="s">
        <v>74</v>
      </c>
      <c r="R844" t="s">
        <v>74</v>
      </c>
      <c r="S844" t="s">
        <v>74</v>
      </c>
      <c r="T844" t="s">
        <v>12015</v>
      </c>
      <c r="U844" t="s">
        <v>12016</v>
      </c>
      <c r="V844" t="s">
        <v>12017</v>
      </c>
      <c r="W844" t="s">
        <v>12018</v>
      </c>
      <c r="X844" t="s">
        <v>12019</v>
      </c>
      <c r="Y844" t="s">
        <v>12020</v>
      </c>
      <c r="Z844" t="s">
        <v>12021</v>
      </c>
      <c r="AA844" t="s">
        <v>12022</v>
      </c>
      <c r="AB844" t="s">
        <v>74</v>
      </c>
      <c r="AC844" t="s">
        <v>74</v>
      </c>
      <c r="AD844" t="s">
        <v>74</v>
      </c>
      <c r="AE844" t="s">
        <v>74</v>
      </c>
      <c r="AF844" t="s">
        <v>74</v>
      </c>
      <c r="AG844">
        <v>26</v>
      </c>
      <c r="AH844">
        <v>3</v>
      </c>
      <c r="AI844">
        <v>5</v>
      </c>
      <c r="AJ844">
        <v>0</v>
      </c>
      <c r="AK844">
        <v>2</v>
      </c>
      <c r="AL844" t="s">
        <v>394</v>
      </c>
      <c r="AM844" t="s">
        <v>395</v>
      </c>
      <c r="AN844" t="s">
        <v>396</v>
      </c>
      <c r="AO844" t="s">
        <v>8553</v>
      </c>
      <c r="AP844" t="s">
        <v>8554</v>
      </c>
      <c r="AQ844" t="s">
        <v>74</v>
      </c>
      <c r="AR844" t="s">
        <v>8555</v>
      </c>
      <c r="AS844" t="s">
        <v>8556</v>
      </c>
      <c r="AT844" t="s">
        <v>74</v>
      </c>
      <c r="AU844">
        <v>2005</v>
      </c>
      <c r="AV844">
        <v>39</v>
      </c>
      <c r="AW844">
        <v>15</v>
      </c>
      <c r="AX844" t="s">
        <v>74</v>
      </c>
      <c r="AY844" t="s">
        <v>74</v>
      </c>
      <c r="AZ844" t="s">
        <v>74</v>
      </c>
      <c r="BA844" t="s">
        <v>74</v>
      </c>
      <c r="BB844">
        <v>1077</v>
      </c>
      <c r="BC844">
        <v>1100</v>
      </c>
      <c r="BD844" t="s">
        <v>74</v>
      </c>
      <c r="BE844" t="s">
        <v>12023</v>
      </c>
      <c r="BF844" t="str">
        <f>HYPERLINK("http://dx.doi.org/10.1080/00222930400005740","http://dx.doi.org/10.1080/00222930400005740")</f>
        <v>http://dx.doi.org/10.1080/00222930400005740</v>
      </c>
      <c r="BG844" t="s">
        <v>74</v>
      </c>
      <c r="BH844" t="s">
        <v>74</v>
      </c>
      <c r="BI844">
        <v>24</v>
      </c>
      <c r="BJ844" t="s">
        <v>8558</v>
      </c>
      <c r="BK844" t="s">
        <v>95</v>
      </c>
      <c r="BL844" t="s">
        <v>8559</v>
      </c>
      <c r="BM844" t="s">
        <v>12024</v>
      </c>
      <c r="BN844" t="s">
        <v>74</v>
      </c>
      <c r="BO844" t="s">
        <v>143</v>
      </c>
      <c r="BP844" t="s">
        <v>74</v>
      </c>
      <c r="BQ844" t="s">
        <v>74</v>
      </c>
      <c r="BR844" t="s">
        <v>97</v>
      </c>
      <c r="BS844" t="s">
        <v>12025</v>
      </c>
      <c r="BT844" t="str">
        <f>HYPERLINK("https%3A%2F%2Fwww.webofscience.com%2Fwos%2Fwoscc%2Ffull-record%2FWOS:000226982800001","View Full Record in Web of Science")</f>
        <v>View Full Record in Web of Science</v>
      </c>
    </row>
    <row r="845" spans="1:72" x14ac:dyDescent="0.15">
      <c r="A845" t="s">
        <v>72</v>
      </c>
      <c r="B845" t="s">
        <v>12026</v>
      </c>
      <c r="C845" t="s">
        <v>74</v>
      </c>
      <c r="D845" t="s">
        <v>74</v>
      </c>
      <c r="E845" t="s">
        <v>74</v>
      </c>
      <c r="F845" t="s">
        <v>12026</v>
      </c>
      <c r="G845" t="s">
        <v>74</v>
      </c>
      <c r="H845" t="s">
        <v>74</v>
      </c>
      <c r="I845" t="s">
        <v>12027</v>
      </c>
      <c r="J845" t="s">
        <v>8548</v>
      </c>
      <c r="K845" t="s">
        <v>74</v>
      </c>
      <c r="L845" t="s">
        <v>74</v>
      </c>
      <c r="M845" t="s">
        <v>77</v>
      </c>
      <c r="N845" t="s">
        <v>78</v>
      </c>
      <c r="O845" t="s">
        <v>74</v>
      </c>
      <c r="P845" t="s">
        <v>74</v>
      </c>
      <c r="Q845" t="s">
        <v>74</v>
      </c>
      <c r="R845" t="s">
        <v>74</v>
      </c>
      <c r="S845" t="s">
        <v>74</v>
      </c>
      <c r="T845" t="s">
        <v>12028</v>
      </c>
      <c r="U845" t="s">
        <v>12029</v>
      </c>
      <c r="V845" t="s">
        <v>12030</v>
      </c>
      <c r="W845" t="s">
        <v>12031</v>
      </c>
      <c r="X845" t="s">
        <v>12032</v>
      </c>
      <c r="Y845" t="s">
        <v>12033</v>
      </c>
      <c r="Z845" t="s">
        <v>12034</v>
      </c>
      <c r="AA845" t="s">
        <v>12035</v>
      </c>
      <c r="AB845" t="s">
        <v>12036</v>
      </c>
      <c r="AC845" t="s">
        <v>74</v>
      </c>
      <c r="AD845" t="s">
        <v>74</v>
      </c>
      <c r="AE845" t="s">
        <v>74</v>
      </c>
      <c r="AF845" t="s">
        <v>74</v>
      </c>
      <c r="AG845">
        <v>17</v>
      </c>
      <c r="AH845">
        <v>3</v>
      </c>
      <c r="AI845">
        <v>3</v>
      </c>
      <c r="AJ845">
        <v>0</v>
      </c>
      <c r="AK845">
        <v>8</v>
      </c>
      <c r="AL845" t="s">
        <v>394</v>
      </c>
      <c r="AM845" t="s">
        <v>395</v>
      </c>
      <c r="AN845" t="s">
        <v>11970</v>
      </c>
      <c r="AO845" t="s">
        <v>8553</v>
      </c>
      <c r="AP845" t="s">
        <v>74</v>
      </c>
      <c r="AQ845" t="s">
        <v>74</v>
      </c>
      <c r="AR845" t="s">
        <v>8555</v>
      </c>
      <c r="AS845" t="s">
        <v>8556</v>
      </c>
      <c r="AT845" t="s">
        <v>74</v>
      </c>
      <c r="AU845">
        <v>2005</v>
      </c>
      <c r="AV845">
        <v>39</v>
      </c>
      <c r="AW845">
        <v>17</v>
      </c>
      <c r="AX845" t="s">
        <v>74</v>
      </c>
      <c r="AY845" t="s">
        <v>74</v>
      </c>
      <c r="AZ845" t="s">
        <v>74</v>
      </c>
      <c r="BA845" t="s">
        <v>74</v>
      </c>
      <c r="BB845">
        <v>1327</v>
      </c>
      <c r="BC845">
        <v>1346</v>
      </c>
      <c r="BD845" t="s">
        <v>74</v>
      </c>
      <c r="BE845" t="s">
        <v>12037</v>
      </c>
      <c r="BF845" t="str">
        <f>HYPERLINK("http://dx.doi.org/10.1080/00222930400015566","http://dx.doi.org/10.1080/00222930400015566")</f>
        <v>http://dx.doi.org/10.1080/00222930400015566</v>
      </c>
      <c r="BG845" t="s">
        <v>74</v>
      </c>
      <c r="BH845" t="s">
        <v>74</v>
      </c>
      <c r="BI845">
        <v>20</v>
      </c>
      <c r="BJ845" t="s">
        <v>8558</v>
      </c>
      <c r="BK845" t="s">
        <v>95</v>
      </c>
      <c r="BL845" t="s">
        <v>8559</v>
      </c>
      <c r="BM845" t="s">
        <v>12038</v>
      </c>
      <c r="BN845" t="s">
        <v>74</v>
      </c>
      <c r="BO845" t="s">
        <v>143</v>
      </c>
      <c r="BP845" t="s">
        <v>74</v>
      </c>
      <c r="BQ845" t="s">
        <v>74</v>
      </c>
      <c r="BR845" t="s">
        <v>97</v>
      </c>
      <c r="BS845" t="s">
        <v>12039</v>
      </c>
      <c r="BT845" t="str">
        <f>HYPERLINK("https%3A%2F%2Fwww.webofscience.com%2Fwos%2Fwoscc%2Ffull-record%2FWOS:000227948400004","View Full Record in Web of Science")</f>
        <v>View Full Record in Web of Science</v>
      </c>
    </row>
    <row r="846" spans="1:72" x14ac:dyDescent="0.15">
      <c r="A846" t="s">
        <v>72</v>
      </c>
      <c r="B846" t="s">
        <v>12040</v>
      </c>
      <c r="C846" t="s">
        <v>74</v>
      </c>
      <c r="D846" t="s">
        <v>74</v>
      </c>
      <c r="E846" t="s">
        <v>74</v>
      </c>
      <c r="F846" t="s">
        <v>12040</v>
      </c>
      <c r="G846" t="s">
        <v>74</v>
      </c>
      <c r="H846" t="s">
        <v>74</v>
      </c>
      <c r="I846" t="s">
        <v>12041</v>
      </c>
      <c r="J846" t="s">
        <v>8548</v>
      </c>
      <c r="K846" t="s">
        <v>74</v>
      </c>
      <c r="L846" t="s">
        <v>74</v>
      </c>
      <c r="M846" t="s">
        <v>77</v>
      </c>
      <c r="N846" t="s">
        <v>78</v>
      </c>
      <c r="O846" t="s">
        <v>74</v>
      </c>
      <c r="P846" t="s">
        <v>74</v>
      </c>
      <c r="Q846" t="s">
        <v>74</v>
      </c>
      <c r="R846" t="s">
        <v>74</v>
      </c>
      <c r="S846" t="s">
        <v>74</v>
      </c>
      <c r="T846" t="s">
        <v>12042</v>
      </c>
      <c r="U846" t="s">
        <v>74</v>
      </c>
      <c r="V846" t="s">
        <v>12043</v>
      </c>
      <c r="W846" t="s">
        <v>12044</v>
      </c>
      <c r="X846" t="s">
        <v>12045</v>
      </c>
      <c r="Y846" t="s">
        <v>12046</v>
      </c>
      <c r="Z846" t="s">
        <v>12047</v>
      </c>
      <c r="AA846" t="s">
        <v>12048</v>
      </c>
      <c r="AB846" t="s">
        <v>12049</v>
      </c>
      <c r="AC846" t="s">
        <v>74</v>
      </c>
      <c r="AD846" t="s">
        <v>74</v>
      </c>
      <c r="AE846" t="s">
        <v>74</v>
      </c>
      <c r="AF846" t="s">
        <v>74</v>
      </c>
      <c r="AG846">
        <v>37</v>
      </c>
      <c r="AH846">
        <v>8</v>
      </c>
      <c r="AI846">
        <v>9</v>
      </c>
      <c r="AJ846">
        <v>0</v>
      </c>
      <c r="AK846">
        <v>3</v>
      </c>
      <c r="AL846" t="s">
        <v>394</v>
      </c>
      <c r="AM846" t="s">
        <v>395</v>
      </c>
      <c r="AN846" t="s">
        <v>11970</v>
      </c>
      <c r="AO846" t="s">
        <v>8553</v>
      </c>
      <c r="AP846" t="s">
        <v>8554</v>
      </c>
      <c r="AQ846" t="s">
        <v>74</v>
      </c>
      <c r="AR846" t="s">
        <v>8555</v>
      </c>
      <c r="AS846" t="s">
        <v>8556</v>
      </c>
      <c r="AT846" t="s">
        <v>74</v>
      </c>
      <c r="AU846">
        <v>2005</v>
      </c>
      <c r="AV846">
        <v>39</v>
      </c>
      <c r="AW846">
        <v>18</v>
      </c>
      <c r="AX846" t="s">
        <v>74</v>
      </c>
      <c r="AY846" t="s">
        <v>74</v>
      </c>
      <c r="AZ846" t="s">
        <v>74</v>
      </c>
      <c r="BA846" t="s">
        <v>74</v>
      </c>
      <c r="BB846">
        <v>1443</v>
      </c>
      <c r="BC846">
        <v>1455</v>
      </c>
      <c r="BD846" t="s">
        <v>74</v>
      </c>
      <c r="BE846" t="s">
        <v>12050</v>
      </c>
      <c r="BF846" t="str">
        <f>HYPERLINK("http://dx.doi.org/10.1080/00222930400005765","http://dx.doi.org/10.1080/00222930400005765")</f>
        <v>http://dx.doi.org/10.1080/00222930400005765</v>
      </c>
      <c r="BG846" t="s">
        <v>74</v>
      </c>
      <c r="BH846" t="s">
        <v>74</v>
      </c>
      <c r="BI846">
        <v>13</v>
      </c>
      <c r="BJ846" t="s">
        <v>8558</v>
      </c>
      <c r="BK846" t="s">
        <v>95</v>
      </c>
      <c r="BL846" t="s">
        <v>8559</v>
      </c>
      <c r="BM846" t="s">
        <v>12051</v>
      </c>
      <c r="BN846" t="s">
        <v>74</v>
      </c>
      <c r="BO846" t="s">
        <v>143</v>
      </c>
      <c r="BP846" t="s">
        <v>74</v>
      </c>
      <c r="BQ846" t="s">
        <v>74</v>
      </c>
      <c r="BR846" t="s">
        <v>97</v>
      </c>
      <c r="BS846" t="s">
        <v>12052</v>
      </c>
      <c r="BT846" t="str">
        <f>HYPERLINK("https%3A%2F%2Fwww.webofscience.com%2Fwos%2Fwoscc%2Ffull-record%2FWOS:000227949300002","View Full Record in Web of Science")</f>
        <v>View Full Record in Web of Science</v>
      </c>
    </row>
    <row r="847" spans="1:72" x14ac:dyDescent="0.15">
      <c r="A847" t="s">
        <v>72</v>
      </c>
      <c r="B847" t="s">
        <v>12053</v>
      </c>
      <c r="C847" t="s">
        <v>74</v>
      </c>
      <c r="D847" t="s">
        <v>74</v>
      </c>
      <c r="E847" t="s">
        <v>74</v>
      </c>
      <c r="F847" t="s">
        <v>12053</v>
      </c>
      <c r="G847" t="s">
        <v>74</v>
      </c>
      <c r="H847" t="s">
        <v>74</v>
      </c>
      <c r="I847" t="s">
        <v>12054</v>
      </c>
      <c r="J847" t="s">
        <v>8548</v>
      </c>
      <c r="K847" t="s">
        <v>74</v>
      </c>
      <c r="L847" t="s">
        <v>74</v>
      </c>
      <c r="M847" t="s">
        <v>77</v>
      </c>
      <c r="N847" t="s">
        <v>78</v>
      </c>
      <c r="O847" t="s">
        <v>74</v>
      </c>
      <c r="P847" t="s">
        <v>74</v>
      </c>
      <c r="Q847" t="s">
        <v>74</v>
      </c>
      <c r="R847" t="s">
        <v>74</v>
      </c>
      <c r="S847" t="s">
        <v>74</v>
      </c>
      <c r="T847" t="s">
        <v>12055</v>
      </c>
      <c r="U847" t="s">
        <v>12056</v>
      </c>
      <c r="V847" t="s">
        <v>12057</v>
      </c>
      <c r="W847" t="s">
        <v>12058</v>
      </c>
      <c r="X847" t="s">
        <v>12059</v>
      </c>
      <c r="Y847" t="s">
        <v>12060</v>
      </c>
      <c r="Z847" t="s">
        <v>12061</v>
      </c>
      <c r="AA847" t="s">
        <v>12062</v>
      </c>
      <c r="AB847" t="s">
        <v>12063</v>
      </c>
      <c r="AC847" t="s">
        <v>74</v>
      </c>
      <c r="AD847" t="s">
        <v>74</v>
      </c>
      <c r="AE847" t="s">
        <v>74</v>
      </c>
      <c r="AF847" t="s">
        <v>74</v>
      </c>
      <c r="AG847">
        <v>30</v>
      </c>
      <c r="AH847">
        <v>12</v>
      </c>
      <c r="AI847">
        <v>12</v>
      </c>
      <c r="AJ847">
        <v>0</v>
      </c>
      <c r="AK847">
        <v>4</v>
      </c>
      <c r="AL847" t="s">
        <v>394</v>
      </c>
      <c r="AM847" t="s">
        <v>395</v>
      </c>
      <c r="AN847" t="s">
        <v>396</v>
      </c>
      <c r="AO847" t="s">
        <v>8553</v>
      </c>
      <c r="AP847" t="s">
        <v>8554</v>
      </c>
      <c r="AQ847" t="s">
        <v>74</v>
      </c>
      <c r="AR847" t="s">
        <v>8555</v>
      </c>
      <c r="AS847" t="s">
        <v>8556</v>
      </c>
      <c r="AT847" t="s">
        <v>74</v>
      </c>
      <c r="AU847">
        <v>2005</v>
      </c>
      <c r="AV847">
        <v>39</v>
      </c>
      <c r="AW847">
        <v>33</v>
      </c>
      <c r="AX847" t="s">
        <v>74</v>
      </c>
      <c r="AY847" t="s">
        <v>74</v>
      </c>
      <c r="AZ847" t="s">
        <v>74</v>
      </c>
      <c r="BA847" t="s">
        <v>74</v>
      </c>
      <c r="BB847">
        <v>3059</v>
      </c>
      <c r="BC847">
        <v>3074</v>
      </c>
      <c r="BD847" t="s">
        <v>74</v>
      </c>
      <c r="BE847" t="s">
        <v>12064</v>
      </c>
      <c r="BF847" t="str">
        <f>HYPERLINK("http://dx.doi.org/10.1080/00222930500240015","http://dx.doi.org/10.1080/00222930500240015")</f>
        <v>http://dx.doi.org/10.1080/00222930500240015</v>
      </c>
      <c r="BG847" t="s">
        <v>74</v>
      </c>
      <c r="BH847" t="s">
        <v>74</v>
      </c>
      <c r="BI847">
        <v>16</v>
      </c>
      <c r="BJ847" t="s">
        <v>8558</v>
      </c>
      <c r="BK847" t="s">
        <v>95</v>
      </c>
      <c r="BL847" t="s">
        <v>8559</v>
      </c>
      <c r="BM847" t="s">
        <v>12065</v>
      </c>
      <c r="BN847" t="s">
        <v>74</v>
      </c>
      <c r="BO847" t="s">
        <v>74</v>
      </c>
      <c r="BP847" t="s">
        <v>74</v>
      </c>
      <c r="BQ847" t="s">
        <v>74</v>
      </c>
      <c r="BR847" t="s">
        <v>97</v>
      </c>
      <c r="BS847" t="s">
        <v>12066</v>
      </c>
      <c r="BT847" t="str">
        <f>HYPERLINK("https%3A%2F%2Fwww.webofscience.com%2Fwos%2Fwoscc%2Ffull-record%2FWOS:000233194700002","View Full Record in Web of Science")</f>
        <v>View Full Record in Web of Science</v>
      </c>
    </row>
    <row r="848" spans="1:72" x14ac:dyDescent="0.15">
      <c r="A848" t="s">
        <v>72</v>
      </c>
      <c r="B848" t="s">
        <v>12067</v>
      </c>
      <c r="C848" t="s">
        <v>74</v>
      </c>
      <c r="D848" t="s">
        <v>74</v>
      </c>
      <c r="E848" t="s">
        <v>74</v>
      </c>
      <c r="F848" t="s">
        <v>12067</v>
      </c>
      <c r="G848" t="s">
        <v>74</v>
      </c>
      <c r="H848" t="s">
        <v>74</v>
      </c>
      <c r="I848" t="s">
        <v>12068</v>
      </c>
      <c r="J848" t="s">
        <v>1963</v>
      </c>
      <c r="K848" t="s">
        <v>74</v>
      </c>
      <c r="L848" t="s">
        <v>74</v>
      </c>
      <c r="M848" t="s">
        <v>77</v>
      </c>
      <c r="N848" t="s">
        <v>78</v>
      </c>
      <c r="O848" t="s">
        <v>74</v>
      </c>
      <c r="P848" t="s">
        <v>74</v>
      </c>
      <c r="Q848" t="s">
        <v>74</v>
      </c>
      <c r="R848" t="s">
        <v>74</v>
      </c>
      <c r="S848" t="s">
        <v>74</v>
      </c>
      <c r="T848" t="s">
        <v>74</v>
      </c>
      <c r="U848" t="s">
        <v>12069</v>
      </c>
      <c r="V848" t="s">
        <v>12070</v>
      </c>
      <c r="W848" t="s">
        <v>2600</v>
      </c>
      <c r="X848" t="s">
        <v>2601</v>
      </c>
      <c r="Y848" t="s">
        <v>12071</v>
      </c>
      <c r="Z848" t="s">
        <v>2603</v>
      </c>
      <c r="AA848" t="s">
        <v>74</v>
      </c>
      <c r="AB848" t="s">
        <v>74</v>
      </c>
      <c r="AC848" t="s">
        <v>74</v>
      </c>
      <c r="AD848" t="s">
        <v>74</v>
      </c>
      <c r="AE848" t="s">
        <v>74</v>
      </c>
      <c r="AF848" t="s">
        <v>74</v>
      </c>
      <c r="AG848">
        <v>33</v>
      </c>
      <c r="AH848">
        <v>39</v>
      </c>
      <c r="AI848">
        <v>39</v>
      </c>
      <c r="AJ848">
        <v>0</v>
      </c>
      <c r="AK848">
        <v>9</v>
      </c>
      <c r="AL848" t="s">
        <v>902</v>
      </c>
      <c r="AM848" t="s">
        <v>903</v>
      </c>
      <c r="AN848" t="s">
        <v>922</v>
      </c>
      <c r="AO848" t="s">
        <v>1970</v>
      </c>
      <c r="AP848" t="s">
        <v>3633</v>
      </c>
      <c r="AQ848" t="s">
        <v>74</v>
      </c>
      <c r="AR848" t="s">
        <v>1971</v>
      </c>
      <c r="AS848" t="s">
        <v>1972</v>
      </c>
      <c r="AT848" t="s">
        <v>9676</v>
      </c>
      <c r="AU848">
        <v>2005</v>
      </c>
      <c r="AV848">
        <v>35</v>
      </c>
      <c r="AW848">
        <v>1</v>
      </c>
      <c r="AX848" t="s">
        <v>74</v>
      </c>
      <c r="AY848" t="s">
        <v>74</v>
      </c>
      <c r="AZ848" t="s">
        <v>74</v>
      </c>
      <c r="BA848" t="s">
        <v>74</v>
      </c>
      <c r="BB848">
        <v>109</v>
      </c>
      <c r="BC848">
        <v>122</v>
      </c>
      <c r="BD848" t="s">
        <v>74</v>
      </c>
      <c r="BE848" t="s">
        <v>12072</v>
      </c>
      <c r="BF848" t="str">
        <f>HYPERLINK("http://dx.doi.org/10.1175/JPO-2666.1","http://dx.doi.org/10.1175/JPO-2666.1")</f>
        <v>http://dx.doi.org/10.1175/JPO-2666.1</v>
      </c>
      <c r="BG848" t="s">
        <v>74</v>
      </c>
      <c r="BH848" t="s">
        <v>74</v>
      </c>
      <c r="BI848">
        <v>14</v>
      </c>
      <c r="BJ848" t="s">
        <v>632</v>
      </c>
      <c r="BK848" t="s">
        <v>95</v>
      </c>
      <c r="BL848" t="s">
        <v>632</v>
      </c>
      <c r="BM848" t="s">
        <v>12073</v>
      </c>
      <c r="BN848" t="s">
        <v>74</v>
      </c>
      <c r="BO848" t="s">
        <v>143</v>
      </c>
      <c r="BP848" t="s">
        <v>74</v>
      </c>
      <c r="BQ848" t="s">
        <v>74</v>
      </c>
      <c r="BR848" t="s">
        <v>97</v>
      </c>
      <c r="BS848" t="s">
        <v>12074</v>
      </c>
      <c r="BT848" t="str">
        <f>HYPERLINK("https%3A%2F%2Fwww.webofscience.com%2Fwos%2Fwoscc%2Ffull-record%2FWOS:000226933400007","View Full Record in Web of Science")</f>
        <v>View Full Record in Web of Science</v>
      </c>
    </row>
    <row r="849" spans="1:72" x14ac:dyDescent="0.15">
      <c r="A849" t="s">
        <v>72</v>
      </c>
      <c r="B849" t="s">
        <v>12075</v>
      </c>
      <c r="C849" t="s">
        <v>74</v>
      </c>
      <c r="D849" t="s">
        <v>74</v>
      </c>
      <c r="E849" t="s">
        <v>74</v>
      </c>
      <c r="F849" t="s">
        <v>12075</v>
      </c>
      <c r="G849" t="s">
        <v>74</v>
      </c>
      <c r="H849" t="s">
        <v>74</v>
      </c>
      <c r="I849" t="s">
        <v>12076</v>
      </c>
      <c r="J849" t="s">
        <v>12077</v>
      </c>
      <c r="K849" t="s">
        <v>74</v>
      </c>
      <c r="L849" t="s">
        <v>74</v>
      </c>
      <c r="M849" t="s">
        <v>77</v>
      </c>
      <c r="N849" t="s">
        <v>365</v>
      </c>
      <c r="O849" t="s">
        <v>74</v>
      </c>
      <c r="P849" t="s">
        <v>74</v>
      </c>
      <c r="Q849" t="s">
        <v>74</v>
      </c>
      <c r="R849" t="s">
        <v>74</v>
      </c>
      <c r="S849" t="s">
        <v>74</v>
      </c>
      <c r="T849" t="s">
        <v>12078</v>
      </c>
      <c r="U849" t="s">
        <v>12079</v>
      </c>
      <c r="V849" t="s">
        <v>12080</v>
      </c>
      <c r="W849" t="s">
        <v>12081</v>
      </c>
      <c r="X849" t="s">
        <v>12082</v>
      </c>
      <c r="Y849" t="s">
        <v>12083</v>
      </c>
      <c r="Z849" t="s">
        <v>12084</v>
      </c>
      <c r="AA849" t="s">
        <v>12085</v>
      </c>
      <c r="AB849" t="s">
        <v>12086</v>
      </c>
      <c r="AC849" t="s">
        <v>74</v>
      </c>
      <c r="AD849" t="s">
        <v>74</v>
      </c>
      <c r="AE849" t="s">
        <v>74</v>
      </c>
      <c r="AF849" t="s">
        <v>74</v>
      </c>
      <c r="AG849">
        <v>61</v>
      </c>
      <c r="AH849">
        <v>24</v>
      </c>
      <c r="AI849">
        <v>26</v>
      </c>
      <c r="AJ849">
        <v>0</v>
      </c>
      <c r="AK849">
        <v>24</v>
      </c>
      <c r="AL849" t="s">
        <v>435</v>
      </c>
      <c r="AM849" t="s">
        <v>436</v>
      </c>
      <c r="AN849" t="s">
        <v>437</v>
      </c>
      <c r="AO849" t="s">
        <v>12087</v>
      </c>
      <c r="AP849" t="s">
        <v>12088</v>
      </c>
      <c r="AQ849" t="s">
        <v>74</v>
      </c>
      <c r="AR849" t="s">
        <v>12089</v>
      </c>
      <c r="AS849" t="s">
        <v>12090</v>
      </c>
      <c r="AT849" t="s">
        <v>9676</v>
      </c>
      <c r="AU849">
        <v>2005</v>
      </c>
      <c r="AV849">
        <v>53</v>
      </c>
      <c r="AW849" t="s">
        <v>442</v>
      </c>
      <c r="AX849" t="s">
        <v>74</v>
      </c>
      <c r="AY849" t="s">
        <v>74</v>
      </c>
      <c r="AZ849" t="s">
        <v>74</v>
      </c>
      <c r="BA849" t="s">
        <v>74</v>
      </c>
      <c r="BB849">
        <v>93</v>
      </c>
      <c r="BC849">
        <v>108</v>
      </c>
      <c r="BD849" t="s">
        <v>74</v>
      </c>
      <c r="BE849" t="s">
        <v>12091</v>
      </c>
      <c r="BF849" t="str">
        <f>HYPERLINK("http://dx.doi.org/10.1016/j.seares.2004.07.001","http://dx.doi.org/10.1016/j.seares.2004.07.001")</f>
        <v>http://dx.doi.org/10.1016/j.seares.2004.07.001</v>
      </c>
      <c r="BG849" t="s">
        <v>74</v>
      </c>
      <c r="BH849" t="s">
        <v>74</v>
      </c>
      <c r="BI849">
        <v>16</v>
      </c>
      <c r="BJ849" t="s">
        <v>3689</v>
      </c>
      <c r="BK849" t="s">
        <v>95</v>
      </c>
      <c r="BL849" t="s">
        <v>3689</v>
      </c>
      <c r="BM849" t="s">
        <v>12092</v>
      </c>
      <c r="BN849" t="s">
        <v>74</v>
      </c>
      <c r="BO849" t="s">
        <v>750</v>
      </c>
      <c r="BP849" t="s">
        <v>74</v>
      </c>
      <c r="BQ849" t="s">
        <v>74</v>
      </c>
      <c r="BR849" t="s">
        <v>97</v>
      </c>
      <c r="BS849" t="s">
        <v>12093</v>
      </c>
      <c r="BT849" t="str">
        <f>HYPERLINK("https%3A%2F%2Fwww.webofscience.com%2Fwos%2Fwoscc%2Ffull-record%2FWOS:000226392000006","View Full Record in Web of Science")</f>
        <v>View Full Record in Web of Science</v>
      </c>
    </row>
    <row r="850" spans="1:72" x14ac:dyDescent="0.15">
      <c r="A850" t="s">
        <v>72</v>
      </c>
      <c r="B850" t="s">
        <v>12094</v>
      </c>
      <c r="C850" t="s">
        <v>74</v>
      </c>
      <c r="D850" t="s">
        <v>74</v>
      </c>
      <c r="E850" t="s">
        <v>74</v>
      </c>
      <c r="F850" t="s">
        <v>12094</v>
      </c>
      <c r="G850" t="s">
        <v>74</v>
      </c>
      <c r="H850" t="s">
        <v>74</v>
      </c>
      <c r="I850" t="s">
        <v>12095</v>
      </c>
      <c r="J850" t="s">
        <v>12096</v>
      </c>
      <c r="K850" t="s">
        <v>74</v>
      </c>
      <c r="L850" t="s">
        <v>74</v>
      </c>
      <c r="M850" t="s">
        <v>77</v>
      </c>
      <c r="N850" t="s">
        <v>78</v>
      </c>
      <c r="O850" t="s">
        <v>74</v>
      </c>
      <c r="P850" t="s">
        <v>74</v>
      </c>
      <c r="Q850" t="s">
        <v>74</v>
      </c>
      <c r="R850" t="s">
        <v>74</v>
      </c>
      <c r="S850" t="s">
        <v>74</v>
      </c>
      <c r="T850" t="s">
        <v>12097</v>
      </c>
      <c r="U850" t="s">
        <v>12098</v>
      </c>
      <c r="V850" t="s">
        <v>12099</v>
      </c>
      <c r="W850" t="s">
        <v>12100</v>
      </c>
      <c r="X850" t="s">
        <v>12101</v>
      </c>
      <c r="Y850" t="s">
        <v>12102</v>
      </c>
      <c r="Z850" t="s">
        <v>12103</v>
      </c>
      <c r="AA850" t="s">
        <v>12104</v>
      </c>
      <c r="AB850" t="s">
        <v>12105</v>
      </c>
      <c r="AC850" t="s">
        <v>74</v>
      </c>
      <c r="AD850" t="s">
        <v>74</v>
      </c>
      <c r="AE850" t="s">
        <v>74</v>
      </c>
      <c r="AF850" t="s">
        <v>74</v>
      </c>
      <c r="AG850">
        <v>80</v>
      </c>
      <c r="AH850">
        <v>9</v>
      </c>
      <c r="AI850">
        <v>9</v>
      </c>
      <c r="AJ850">
        <v>0</v>
      </c>
      <c r="AK850">
        <v>3</v>
      </c>
      <c r="AL850" t="s">
        <v>255</v>
      </c>
      <c r="AM850" t="s">
        <v>256</v>
      </c>
      <c r="AN850" t="s">
        <v>257</v>
      </c>
      <c r="AO850" t="s">
        <v>12106</v>
      </c>
      <c r="AP850" t="s">
        <v>74</v>
      </c>
      <c r="AQ850" t="s">
        <v>74</v>
      </c>
      <c r="AR850" t="s">
        <v>12107</v>
      </c>
      <c r="AS850" t="s">
        <v>12108</v>
      </c>
      <c r="AT850" t="s">
        <v>74</v>
      </c>
      <c r="AU850">
        <v>2005</v>
      </c>
      <c r="AV850">
        <v>27</v>
      </c>
      <c r="AW850">
        <v>6</v>
      </c>
      <c r="AX850" t="s">
        <v>74</v>
      </c>
      <c r="AY850" t="s">
        <v>74</v>
      </c>
      <c r="AZ850" t="s">
        <v>74</v>
      </c>
      <c r="BA850" t="s">
        <v>74</v>
      </c>
      <c r="BB850">
        <v>964</v>
      </c>
      <c r="BC850">
        <v>984</v>
      </c>
      <c r="BD850" t="s">
        <v>74</v>
      </c>
      <c r="BE850" t="s">
        <v>12109</v>
      </c>
      <c r="BF850" t="str">
        <f>HYPERLINK("http://dx.doi.org/10.1016/j.jsg.2005.03.004","http://dx.doi.org/10.1016/j.jsg.2005.03.004")</f>
        <v>http://dx.doi.org/10.1016/j.jsg.2005.03.004</v>
      </c>
      <c r="BG850" t="s">
        <v>74</v>
      </c>
      <c r="BH850" t="s">
        <v>74</v>
      </c>
      <c r="BI850">
        <v>21</v>
      </c>
      <c r="BJ850" t="s">
        <v>537</v>
      </c>
      <c r="BK850" t="s">
        <v>95</v>
      </c>
      <c r="BL850" t="s">
        <v>307</v>
      </c>
      <c r="BM850" t="s">
        <v>12110</v>
      </c>
      <c r="BN850" t="s">
        <v>74</v>
      </c>
      <c r="BO850" t="s">
        <v>74</v>
      </c>
      <c r="BP850" t="s">
        <v>74</v>
      </c>
      <c r="BQ850" t="s">
        <v>74</v>
      </c>
      <c r="BR850" t="s">
        <v>97</v>
      </c>
      <c r="BS850" t="s">
        <v>12111</v>
      </c>
      <c r="BT850" t="str">
        <f>HYPERLINK("https%3A%2F%2Fwww.webofscience.com%2Fwos%2Fwoscc%2Ffull-record%2FWOS:000231213100003","View Full Record in Web of Science")</f>
        <v>View Full Record in Web of Science</v>
      </c>
    </row>
    <row r="851" spans="1:72" x14ac:dyDescent="0.15">
      <c r="A851" t="s">
        <v>72</v>
      </c>
      <c r="B851" t="s">
        <v>12112</v>
      </c>
      <c r="C851" t="s">
        <v>74</v>
      </c>
      <c r="D851" t="s">
        <v>74</v>
      </c>
      <c r="E851" t="s">
        <v>74</v>
      </c>
      <c r="F851" t="s">
        <v>12112</v>
      </c>
      <c r="G851" t="s">
        <v>74</v>
      </c>
      <c r="H851" t="s">
        <v>74</v>
      </c>
      <c r="I851" t="s">
        <v>12113</v>
      </c>
      <c r="J851" t="s">
        <v>12114</v>
      </c>
      <c r="K851" t="s">
        <v>74</v>
      </c>
      <c r="L851" t="s">
        <v>74</v>
      </c>
      <c r="M851" t="s">
        <v>77</v>
      </c>
      <c r="N851" t="s">
        <v>495</v>
      </c>
      <c r="O851" t="s">
        <v>12115</v>
      </c>
      <c r="P851" t="s">
        <v>12116</v>
      </c>
      <c r="Q851" t="s">
        <v>9687</v>
      </c>
      <c r="R851" t="s">
        <v>74</v>
      </c>
      <c r="S851" t="s">
        <v>74</v>
      </c>
      <c r="T851" t="s">
        <v>12117</v>
      </c>
      <c r="U851" t="s">
        <v>12118</v>
      </c>
      <c r="V851" t="s">
        <v>12119</v>
      </c>
      <c r="W851" t="s">
        <v>12120</v>
      </c>
      <c r="X851" t="s">
        <v>12121</v>
      </c>
      <c r="Y851" t="s">
        <v>12122</v>
      </c>
      <c r="Z851" t="s">
        <v>12123</v>
      </c>
      <c r="AA851" t="s">
        <v>12124</v>
      </c>
      <c r="AB851" t="s">
        <v>74</v>
      </c>
      <c r="AC851" t="s">
        <v>74</v>
      </c>
      <c r="AD851" t="s">
        <v>74</v>
      </c>
      <c r="AE851" t="s">
        <v>74</v>
      </c>
      <c r="AF851" t="s">
        <v>74</v>
      </c>
      <c r="AG851">
        <v>25</v>
      </c>
      <c r="AH851">
        <v>8</v>
      </c>
      <c r="AI851">
        <v>8</v>
      </c>
      <c r="AJ851">
        <v>3</v>
      </c>
      <c r="AK851">
        <v>19</v>
      </c>
      <c r="AL851" t="s">
        <v>2232</v>
      </c>
      <c r="AM851" t="s">
        <v>256</v>
      </c>
      <c r="AN851" t="s">
        <v>2233</v>
      </c>
      <c r="AO851" t="s">
        <v>12125</v>
      </c>
      <c r="AP851" t="s">
        <v>12126</v>
      </c>
      <c r="AQ851" t="s">
        <v>74</v>
      </c>
      <c r="AR851" t="s">
        <v>12127</v>
      </c>
      <c r="AS851" t="s">
        <v>12128</v>
      </c>
      <c r="AT851" t="s">
        <v>74</v>
      </c>
      <c r="AU851">
        <v>2005</v>
      </c>
      <c r="AV851">
        <v>25</v>
      </c>
      <c r="AW851">
        <v>8</v>
      </c>
      <c r="AX851" t="s">
        <v>74</v>
      </c>
      <c r="AY851" t="s">
        <v>74</v>
      </c>
      <c r="AZ851" t="s">
        <v>74</v>
      </c>
      <c r="BA851" t="s">
        <v>74</v>
      </c>
      <c r="BB851">
        <v>1405</v>
      </c>
      <c r="BC851">
        <v>1410</v>
      </c>
      <c r="BD851" t="s">
        <v>74</v>
      </c>
      <c r="BE851" t="s">
        <v>12129</v>
      </c>
      <c r="BF851" t="str">
        <f>HYPERLINK("http://dx.doi.org/10.1016/j.jeurceramsoc.2005.01.020","http://dx.doi.org/10.1016/j.jeurceramsoc.2005.01.020")</f>
        <v>http://dx.doi.org/10.1016/j.jeurceramsoc.2005.01.020</v>
      </c>
      <c r="BG851" t="s">
        <v>74</v>
      </c>
      <c r="BH851" t="s">
        <v>74</v>
      </c>
      <c r="BI851">
        <v>6</v>
      </c>
      <c r="BJ851" t="s">
        <v>12130</v>
      </c>
      <c r="BK851" t="s">
        <v>514</v>
      </c>
      <c r="BL851" t="s">
        <v>12131</v>
      </c>
      <c r="BM851" t="s">
        <v>12132</v>
      </c>
      <c r="BN851" t="s">
        <v>74</v>
      </c>
      <c r="BO851" t="s">
        <v>74</v>
      </c>
      <c r="BP851" t="s">
        <v>74</v>
      </c>
      <c r="BQ851" t="s">
        <v>74</v>
      </c>
      <c r="BR851" t="s">
        <v>97</v>
      </c>
      <c r="BS851" t="s">
        <v>12133</v>
      </c>
      <c r="BT851" t="str">
        <f>HYPERLINK("https%3A%2F%2Fwww.webofscience.com%2Fwos%2Fwoscc%2Ffull-record%2FWOS:000229522600028","View Full Record in Web of Science")</f>
        <v>View Full Record in Web of Science</v>
      </c>
    </row>
    <row r="852" spans="1:72" x14ac:dyDescent="0.15">
      <c r="A852" t="s">
        <v>72</v>
      </c>
      <c r="B852" t="s">
        <v>12134</v>
      </c>
      <c r="C852" t="s">
        <v>74</v>
      </c>
      <c r="D852" t="s">
        <v>74</v>
      </c>
      <c r="E852" t="s">
        <v>74</v>
      </c>
      <c r="F852" t="s">
        <v>12134</v>
      </c>
      <c r="G852" t="s">
        <v>74</v>
      </c>
      <c r="H852" t="s">
        <v>74</v>
      </c>
      <c r="I852" t="s">
        <v>12135</v>
      </c>
      <c r="J852" t="s">
        <v>3659</v>
      </c>
      <c r="K852" t="s">
        <v>74</v>
      </c>
      <c r="L852" t="s">
        <v>74</v>
      </c>
      <c r="M852" t="s">
        <v>77</v>
      </c>
      <c r="N852" t="s">
        <v>78</v>
      </c>
      <c r="O852" t="s">
        <v>74</v>
      </c>
      <c r="P852" t="s">
        <v>74</v>
      </c>
      <c r="Q852" t="s">
        <v>74</v>
      </c>
      <c r="R852" t="s">
        <v>74</v>
      </c>
      <c r="S852" t="s">
        <v>74</v>
      </c>
      <c r="T852" t="s">
        <v>12136</v>
      </c>
      <c r="U852" t="s">
        <v>12137</v>
      </c>
      <c r="V852" t="s">
        <v>12138</v>
      </c>
      <c r="W852" t="s">
        <v>12139</v>
      </c>
      <c r="X852" t="s">
        <v>12140</v>
      </c>
      <c r="Y852" t="s">
        <v>12141</v>
      </c>
      <c r="Z852" t="s">
        <v>12142</v>
      </c>
      <c r="AA852" t="s">
        <v>12143</v>
      </c>
      <c r="AB852" t="s">
        <v>12144</v>
      </c>
      <c r="AC852" t="s">
        <v>74</v>
      </c>
      <c r="AD852" t="s">
        <v>74</v>
      </c>
      <c r="AE852" t="s">
        <v>74</v>
      </c>
      <c r="AF852" t="s">
        <v>74</v>
      </c>
      <c r="AG852">
        <v>62</v>
      </c>
      <c r="AH852">
        <v>24</v>
      </c>
      <c r="AI852">
        <v>24</v>
      </c>
      <c r="AJ852">
        <v>0</v>
      </c>
      <c r="AK852">
        <v>8</v>
      </c>
      <c r="AL852" t="s">
        <v>3585</v>
      </c>
      <c r="AM852" t="s">
        <v>3586</v>
      </c>
      <c r="AN852" t="s">
        <v>3587</v>
      </c>
      <c r="AO852" t="s">
        <v>3669</v>
      </c>
      <c r="AP852" t="s">
        <v>3670</v>
      </c>
      <c r="AQ852" t="s">
        <v>74</v>
      </c>
      <c r="AR852" t="s">
        <v>3671</v>
      </c>
      <c r="AS852" t="s">
        <v>3672</v>
      </c>
      <c r="AT852" t="s">
        <v>9676</v>
      </c>
      <c r="AU852">
        <v>2005</v>
      </c>
      <c r="AV852">
        <v>162</v>
      </c>
      <c r="AW852" t="s">
        <v>74</v>
      </c>
      <c r="AX852">
        <v>1</v>
      </c>
      <c r="AY852" t="s">
        <v>74</v>
      </c>
      <c r="AZ852" t="s">
        <v>74</v>
      </c>
      <c r="BA852" t="s">
        <v>74</v>
      </c>
      <c r="BB852">
        <v>163</v>
      </c>
      <c r="BC852">
        <v>174</v>
      </c>
      <c r="BD852" t="s">
        <v>74</v>
      </c>
      <c r="BE852" t="s">
        <v>12145</v>
      </c>
      <c r="BF852" t="str">
        <f>HYPERLINK("http://dx.doi.org/10.1144/0016-764903-150","http://dx.doi.org/10.1144/0016-764903-150")</f>
        <v>http://dx.doi.org/10.1144/0016-764903-150</v>
      </c>
      <c r="BG852" t="s">
        <v>74</v>
      </c>
      <c r="BH852" t="s">
        <v>74</v>
      </c>
      <c r="BI852">
        <v>12</v>
      </c>
      <c r="BJ852" t="s">
        <v>537</v>
      </c>
      <c r="BK852" t="s">
        <v>95</v>
      </c>
      <c r="BL852" t="s">
        <v>307</v>
      </c>
      <c r="BM852" t="s">
        <v>12146</v>
      </c>
      <c r="BN852" t="s">
        <v>74</v>
      </c>
      <c r="BO852" t="s">
        <v>74</v>
      </c>
      <c r="BP852" t="s">
        <v>74</v>
      </c>
      <c r="BQ852" t="s">
        <v>74</v>
      </c>
      <c r="BR852" t="s">
        <v>97</v>
      </c>
      <c r="BS852" t="s">
        <v>12147</v>
      </c>
      <c r="BT852" t="str">
        <f>HYPERLINK("https%3A%2F%2Fwww.webofscience.com%2Fwos%2Fwoscc%2Ffull-record%2FWOS:000226640900016","View Full Record in Web of Science")</f>
        <v>View Full Record in Web of Science</v>
      </c>
    </row>
    <row r="853" spans="1:72" x14ac:dyDescent="0.15">
      <c r="A853" t="s">
        <v>72</v>
      </c>
      <c r="B853" t="s">
        <v>12148</v>
      </c>
      <c r="C853" t="s">
        <v>74</v>
      </c>
      <c r="D853" t="s">
        <v>74</v>
      </c>
      <c r="E853" t="s">
        <v>74</v>
      </c>
      <c r="F853" t="s">
        <v>12149</v>
      </c>
      <c r="G853" t="s">
        <v>74</v>
      </c>
      <c r="H853" t="s">
        <v>74</v>
      </c>
      <c r="I853" t="s">
        <v>12150</v>
      </c>
      <c r="J853" t="s">
        <v>12151</v>
      </c>
      <c r="K853" t="s">
        <v>74</v>
      </c>
      <c r="L853" t="s">
        <v>74</v>
      </c>
      <c r="M853" t="s">
        <v>12152</v>
      </c>
      <c r="N853" t="s">
        <v>78</v>
      </c>
      <c r="O853" t="s">
        <v>74</v>
      </c>
      <c r="P853" t="s">
        <v>74</v>
      </c>
      <c r="Q853" t="s">
        <v>74</v>
      </c>
      <c r="R853" t="s">
        <v>74</v>
      </c>
      <c r="S853" t="s">
        <v>74</v>
      </c>
      <c r="T853" t="s">
        <v>12153</v>
      </c>
      <c r="U853" t="s">
        <v>74</v>
      </c>
      <c r="V853" t="s">
        <v>12154</v>
      </c>
      <c r="W853" t="s">
        <v>12155</v>
      </c>
      <c r="X853" t="s">
        <v>12156</v>
      </c>
      <c r="Y853" t="s">
        <v>12157</v>
      </c>
      <c r="Z853" t="s">
        <v>12158</v>
      </c>
      <c r="AA853" t="s">
        <v>74</v>
      </c>
      <c r="AB853" t="s">
        <v>74</v>
      </c>
      <c r="AC853" t="s">
        <v>74</v>
      </c>
      <c r="AD853" t="s">
        <v>74</v>
      </c>
      <c r="AE853" t="s">
        <v>74</v>
      </c>
      <c r="AF853" t="s">
        <v>74</v>
      </c>
      <c r="AG853">
        <v>43</v>
      </c>
      <c r="AH853">
        <v>1</v>
      </c>
      <c r="AI853">
        <v>1</v>
      </c>
      <c r="AJ853">
        <v>0</v>
      </c>
      <c r="AK853">
        <v>1</v>
      </c>
      <c r="AL853" t="s">
        <v>12159</v>
      </c>
      <c r="AM853" t="s">
        <v>8370</v>
      </c>
      <c r="AN853" t="s">
        <v>12160</v>
      </c>
      <c r="AO853" t="s">
        <v>12161</v>
      </c>
      <c r="AP853" t="s">
        <v>12162</v>
      </c>
      <c r="AQ853" t="s">
        <v>74</v>
      </c>
      <c r="AR853" t="s">
        <v>12163</v>
      </c>
      <c r="AS853" t="s">
        <v>12164</v>
      </c>
      <c r="AT853" t="s">
        <v>74</v>
      </c>
      <c r="AU853">
        <v>2005</v>
      </c>
      <c r="AV853">
        <v>41</v>
      </c>
      <c r="AW853">
        <v>2</v>
      </c>
      <c r="AX853" t="s">
        <v>74</v>
      </c>
      <c r="AY853" t="s">
        <v>74</v>
      </c>
      <c r="AZ853" t="s">
        <v>74</v>
      </c>
      <c r="BA853" t="s">
        <v>74</v>
      </c>
      <c r="BB853">
        <v>157</v>
      </c>
      <c r="BC853">
        <v>173</v>
      </c>
      <c r="BD853" t="s">
        <v>74</v>
      </c>
      <c r="BE853" t="s">
        <v>74</v>
      </c>
      <c r="BF853" t="s">
        <v>74</v>
      </c>
      <c r="BG853" t="s">
        <v>74</v>
      </c>
      <c r="BH853" t="s">
        <v>74</v>
      </c>
      <c r="BI853">
        <v>17</v>
      </c>
      <c r="BJ853" t="s">
        <v>537</v>
      </c>
      <c r="BK853" t="s">
        <v>3249</v>
      </c>
      <c r="BL853" t="s">
        <v>307</v>
      </c>
      <c r="BM853" t="s">
        <v>12165</v>
      </c>
      <c r="BN853" t="s">
        <v>74</v>
      </c>
      <c r="BO853" t="s">
        <v>74</v>
      </c>
      <c r="BP853" t="s">
        <v>74</v>
      </c>
      <c r="BQ853" t="s">
        <v>74</v>
      </c>
      <c r="BR853" t="s">
        <v>97</v>
      </c>
      <c r="BS853" t="s">
        <v>12166</v>
      </c>
      <c r="BT853" t="str">
        <f>HYPERLINK("https%3A%2F%2Fwww.webofscience.com%2Fwos%2Fwoscc%2Ffull-record%2FWOS:000410131300003","View Full Record in Web of Science")</f>
        <v>View Full Record in Web of Science</v>
      </c>
    </row>
    <row r="854" spans="1:72" x14ac:dyDescent="0.15">
      <c r="A854" t="s">
        <v>72</v>
      </c>
      <c r="B854" t="s">
        <v>12167</v>
      </c>
      <c r="C854" t="s">
        <v>74</v>
      </c>
      <c r="D854" t="s">
        <v>74</v>
      </c>
      <c r="E854" t="s">
        <v>74</v>
      </c>
      <c r="F854" t="s">
        <v>12168</v>
      </c>
      <c r="G854" t="s">
        <v>74</v>
      </c>
      <c r="H854" t="s">
        <v>74</v>
      </c>
      <c r="I854" t="s">
        <v>12169</v>
      </c>
      <c r="J854" t="s">
        <v>12151</v>
      </c>
      <c r="K854" t="s">
        <v>74</v>
      </c>
      <c r="L854" t="s">
        <v>74</v>
      </c>
      <c r="M854" t="s">
        <v>12152</v>
      </c>
      <c r="N854" t="s">
        <v>78</v>
      </c>
      <c r="O854" t="s">
        <v>74</v>
      </c>
      <c r="P854" t="s">
        <v>74</v>
      </c>
      <c r="Q854" t="s">
        <v>74</v>
      </c>
      <c r="R854" t="s">
        <v>74</v>
      </c>
      <c r="S854" t="s">
        <v>74</v>
      </c>
      <c r="T854" t="s">
        <v>12170</v>
      </c>
      <c r="U854" t="s">
        <v>74</v>
      </c>
      <c r="V854" t="s">
        <v>12171</v>
      </c>
      <c r="W854" t="s">
        <v>12172</v>
      </c>
      <c r="X854" t="s">
        <v>12173</v>
      </c>
      <c r="Y854" t="s">
        <v>12174</v>
      </c>
      <c r="Z854" t="s">
        <v>12175</v>
      </c>
      <c r="AA854" t="s">
        <v>74</v>
      </c>
      <c r="AB854" t="s">
        <v>74</v>
      </c>
      <c r="AC854" t="s">
        <v>74</v>
      </c>
      <c r="AD854" t="s">
        <v>74</v>
      </c>
      <c r="AE854" t="s">
        <v>74</v>
      </c>
      <c r="AF854" t="s">
        <v>74</v>
      </c>
      <c r="AG854">
        <v>40</v>
      </c>
      <c r="AH854">
        <v>3</v>
      </c>
      <c r="AI854">
        <v>3</v>
      </c>
      <c r="AJ854">
        <v>1</v>
      </c>
      <c r="AK854">
        <v>2</v>
      </c>
      <c r="AL854" t="s">
        <v>12159</v>
      </c>
      <c r="AM854" t="s">
        <v>8370</v>
      </c>
      <c r="AN854" t="s">
        <v>12160</v>
      </c>
      <c r="AO854" t="s">
        <v>12161</v>
      </c>
      <c r="AP854" t="s">
        <v>12162</v>
      </c>
      <c r="AQ854" t="s">
        <v>74</v>
      </c>
      <c r="AR854" t="s">
        <v>12163</v>
      </c>
      <c r="AS854" t="s">
        <v>12164</v>
      </c>
      <c r="AT854" t="s">
        <v>74</v>
      </c>
      <c r="AU854">
        <v>2005</v>
      </c>
      <c r="AV854">
        <v>41</v>
      </c>
      <c r="AW854">
        <v>2</v>
      </c>
      <c r="AX854" t="s">
        <v>74</v>
      </c>
      <c r="AY854" t="s">
        <v>74</v>
      </c>
      <c r="AZ854" t="s">
        <v>74</v>
      </c>
      <c r="BA854" t="s">
        <v>74</v>
      </c>
      <c r="BB854">
        <v>211</v>
      </c>
      <c r="BC854">
        <v>226</v>
      </c>
      <c r="BD854" t="s">
        <v>74</v>
      </c>
      <c r="BE854" t="s">
        <v>74</v>
      </c>
      <c r="BF854" t="s">
        <v>74</v>
      </c>
      <c r="BG854" t="s">
        <v>74</v>
      </c>
      <c r="BH854" t="s">
        <v>74</v>
      </c>
      <c r="BI854">
        <v>16</v>
      </c>
      <c r="BJ854" t="s">
        <v>537</v>
      </c>
      <c r="BK854" t="s">
        <v>3249</v>
      </c>
      <c r="BL854" t="s">
        <v>307</v>
      </c>
      <c r="BM854" t="s">
        <v>12165</v>
      </c>
      <c r="BN854" t="s">
        <v>74</v>
      </c>
      <c r="BO854" t="s">
        <v>74</v>
      </c>
      <c r="BP854" t="s">
        <v>74</v>
      </c>
      <c r="BQ854" t="s">
        <v>74</v>
      </c>
      <c r="BR854" t="s">
        <v>97</v>
      </c>
      <c r="BS854" t="s">
        <v>12176</v>
      </c>
      <c r="BT854" t="str">
        <f>HYPERLINK("https%3A%2F%2Fwww.webofscience.com%2Fwos%2Fwoscc%2Ffull-record%2FWOS:000410131300006","View Full Record in Web of Science")</f>
        <v>View Full Record in Web of Science</v>
      </c>
    </row>
    <row r="855" spans="1:72" x14ac:dyDescent="0.15">
      <c r="A855" t="s">
        <v>72</v>
      </c>
      <c r="B855" t="s">
        <v>5668</v>
      </c>
      <c r="C855" t="s">
        <v>74</v>
      </c>
      <c r="D855" t="s">
        <v>74</v>
      </c>
      <c r="E855" t="s">
        <v>74</v>
      </c>
      <c r="F855" t="s">
        <v>5668</v>
      </c>
      <c r="G855" t="s">
        <v>74</v>
      </c>
      <c r="H855" t="s">
        <v>74</v>
      </c>
      <c r="I855" t="s">
        <v>12177</v>
      </c>
      <c r="J855" t="s">
        <v>12178</v>
      </c>
      <c r="K855" t="s">
        <v>74</v>
      </c>
      <c r="L855" t="s">
        <v>74</v>
      </c>
      <c r="M855" t="s">
        <v>77</v>
      </c>
      <c r="N855" t="s">
        <v>495</v>
      </c>
      <c r="O855" t="s">
        <v>12179</v>
      </c>
      <c r="P855" t="s">
        <v>12180</v>
      </c>
      <c r="Q855" t="s">
        <v>12181</v>
      </c>
      <c r="R855" t="s">
        <v>74</v>
      </c>
      <c r="S855" t="s">
        <v>74</v>
      </c>
      <c r="T855" t="s">
        <v>12182</v>
      </c>
      <c r="U855" t="s">
        <v>74</v>
      </c>
      <c r="V855" t="s">
        <v>12183</v>
      </c>
      <c r="W855" t="s">
        <v>670</v>
      </c>
      <c r="X855" t="s">
        <v>671</v>
      </c>
      <c r="Y855" t="s">
        <v>2616</v>
      </c>
      <c r="Z855" t="s">
        <v>5674</v>
      </c>
      <c r="AA855" t="s">
        <v>74</v>
      </c>
      <c r="AB855" t="s">
        <v>74</v>
      </c>
      <c r="AC855" t="s">
        <v>74</v>
      </c>
      <c r="AD855" t="s">
        <v>74</v>
      </c>
      <c r="AE855" t="s">
        <v>74</v>
      </c>
      <c r="AF855" t="s">
        <v>74</v>
      </c>
      <c r="AG855">
        <v>33</v>
      </c>
      <c r="AH855">
        <v>20</v>
      </c>
      <c r="AI855">
        <v>24</v>
      </c>
      <c r="AJ855">
        <v>0</v>
      </c>
      <c r="AK855">
        <v>2</v>
      </c>
      <c r="AL855" t="s">
        <v>12184</v>
      </c>
      <c r="AM855" t="s">
        <v>12185</v>
      </c>
      <c r="AN855" t="s">
        <v>12186</v>
      </c>
      <c r="AO855" t="s">
        <v>12187</v>
      </c>
      <c r="AP855" t="s">
        <v>74</v>
      </c>
      <c r="AQ855" t="s">
        <v>74</v>
      </c>
      <c r="AR855" t="s">
        <v>12188</v>
      </c>
      <c r="AS855" t="s">
        <v>12189</v>
      </c>
      <c r="AT855" t="s">
        <v>9676</v>
      </c>
      <c r="AU855">
        <v>2005</v>
      </c>
      <c r="AV855" t="s">
        <v>74</v>
      </c>
      <c r="AW855">
        <v>97</v>
      </c>
      <c r="AX855" t="s">
        <v>74</v>
      </c>
      <c r="AY855" t="s">
        <v>74</v>
      </c>
      <c r="AZ855" t="s">
        <v>74</v>
      </c>
      <c r="BA855" t="s">
        <v>74</v>
      </c>
      <c r="BB855">
        <v>233</v>
      </c>
      <c r="BC855">
        <v>248</v>
      </c>
      <c r="BD855" t="s">
        <v>74</v>
      </c>
      <c r="BE855" t="s">
        <v>74</v>
      </c>
      <c r="BF855" t="s">
        <v>74</v>
      </c>
      <c r="BG855" t="s">
        <v>74</v>
      </c>
      <c r="BH855" t="s">
        <v>74</v>
      </c>
      <c r="BI855">
        <v>16</v>
      </c>
      <c r="BJ855" t="s">
        <v>4781</v>
      </c>
      <c r="BK855" t="s">
        <v>514</v>
      </c>
      <c r="BL855" t="s">
        <v>4781</v>
      </c>
      <c r="BM855" t="s">
        <v>12190</v>
      </c>
      <c r="BN855" t="s">
        <v>74</v>
      </c>
      <c r="BO855" t="s">
        <v>74</v>
      </c>
      <c r="BP855" t="s">
        <v>74</v>
      </c>
      <c r="BQ855" t="s">
        <v>74</v>
      </c>
      <c r="BR855" t="s">
        <v>97</v>
      </c>
      <c r="BS855" t="s">
        <v>12191</v>
      </c>
      <c r="BT855" t="str">
        <f>HYPERLINK("https%3A%2F%2Fwww.webofscience.com%2Fwos%2Fwoscc%2Ffull-record%2FWOS:000227122800012","View Full Record in Web of Science")</f>
        <v>View Full Record in Web of Science</v>
      </c>
    </row>
    <row r="856" spans="1:72" x14ac:dyDescent="0.15">
      <c r="A856" t="s">
        <v>72</v>
      </c>
      <c r="B856" t="s">
        <v>12192</v>
      </c>
      <c r="C856" t="s">
        <v>74</v>
      </c>
      <c r="D856" t="s">
        <v>74</v>
      </c>
      <c r="E856" t="s">
        <v>74</v>
      </c>
      <c r="F856" t="s">
        <v>12192</v>
      </c>
      <c r="G856" t="s">
        <v>74</v>
      </c>
      <c r="H856" t="s">
        <v>74</v>
      </c>
      <c r="I856" t="s">
        <v>12193</v>
      </c>
      <c r="J856" t="s">
        <v>12194</v>
      </c>
      <c r="K856" t="s">
        <v>74</v>
      </c>
      <c r="L856" t="s">
        <v>74</v>
      </c>
      <c r="M856" t="s">
        <v>77</v>
      </c>
      <c r="N856" t="s">
        <v>78</v>
      </c>
      <c r="O856" t="s">
        <v>74</v>
      </c>
      <c r="P856" t="s">
        <v>74</v>
      </c>
      <c r="Q856" t="s">
        <v>74</v>
      </c>
      <c r="R856" t="s">
        <v>74</v>
      </c>
      <c r="S856" t="s">
        <v>74</v>
      </c>
      <c r="T856" t="s">
        <v>12195</v>
      </c>
      <c r="U856" t="s">
        <v>12196</v>
      </c>
      <c r="V856" t="s">
        <v>12197</v>
      </c>
      <c r="W856" t="s">
        <v>12198</v>
      </c>
      <c r="X856" t="s">
        <v>12199</v>
      </c>
      <c r="Y856" t="s">
        <v>12200</v>
      </c>
      <c r="Z856" t="s">
        <v>74</v>
      </c>
      <c r="AA856" t="s">
        <v>12201</v>
      </c>
      <c r="AB856" t="s">
        <v>74</v>
      </c>
      <c r="AC856" t="s">
        <v>74</v>
      </c>
      <c r="AD856" t="s">
        <v>74</v>
      </c>
      <c r="AE856" t="s">
        <v>74</v>
      </c>
      <c r="AF856" t="s">
        <v>74</v>
      </c>
      <c r="AG856">
        <v>21</v>
      </c>
      <c r="AH856">
        <v>5</v>
      </c>
      <c r="AI856">
        <v>8</v>
      </c>
      <c r="AJ856">
        <v>3</v>
      </c>
      <c r="AK856">
        <v>19</v>
      </c>
      <c r="AL856" t="s">
        <v>3413</v>
      </c>
      <c r="AM856" t="s">
        <v>739</v>
      </c>
      <c r="AN856" t="s">
        <v>3414</v>
      </c>
      <c r="AO856" t="s">
        <v>12202</v>
      </c>
      <c r="AP856" t="s">
        <v>74</v>
      </c>
      <c r="AQ856" t="s">
        <v>74</v>
      </c>
      <c r="AR856" t="s">
        <v>12194</v>
      </c>
      <c r="AS856" t="s">
        <v>12203</v>
      </c>
      <c r="AT856" t="s">
        <v>74</v>
      </c>
      <c r="AU856">
        <v>2005</v>
      </c>
      <c r="AV856">
        <v>37</v>
      </c>
      <c r="AW856" t="s">
        <v>74</v>
      </c>
      <c r="AX856">
        <v>2</v>
      </c>
      <c r="AY856" t="s">
        <v>74</v>
      </c>
      <c r="AZ856" t="s">
        <v>74</v>
      </c>
      <c r="BA856" t="s">
        <v>74</v>
      </c>
      <c r="BB856">
        <v>181</v>
      </c>
      <c r="BC856">
        <v>189</v>
      </c>
      <c r="BD856" t="s">
        <v>74</v>
      </c>
      <c r="BE856" t="s">
        <v>12204</v>
      </c>
      <c r="BF856" t="str">
        <f>HYPERLINK("http://dx.doi.org/10.1017/S0024282905014611","http://dx.doi.org/10.1017/S0024282905014611")</f>
        <v>http://dx.doi.org/10.1017/S0024282905014611</v>
      </c>
      <c r="BG856" t="s">
        <v>74</v>
      </c>
      <c r="BH856" t="s">
        <v>74</v>
      </c>
      <c r="BI856">
        <v>9</v>
      </c>
      <c r="BJ856" t="s">
        <v>12205</v>
      </c>
      <c r="BK856" t="s">
        <v>95</v>
      </c>
      <c r="BL856" t="s">
        <v>12205</v>
      </c>
      <c r="BM856" t="s">
        <v>12206</v>
      </c>
      <c r="BN856" t="s">
        <v>74</v>
      </c>
      <c r="BO856" t="s">
        <v>74</v>
      </c>
      <c r="BP856" t="s">
        <v>74</v>
      </c>
      <c r="BQ856" t="s">
        <v>74</v>
      </c>
      <c r="BR856" t="s">
        <v>97</v>
      </c>
      <c r="BS856" t="s">
        <v>12207</v>
      </c>
      <c r="BT856" t="str">
        <f>HYPERLINK("https%3A%2F%2Fwww.webofscience.com%2Fwos%2Fwoscc%2Ffull-record%2FWOS:000228053800008","View Full Record in Web of Science")</f>
        <v>View Full Record in Web of Science</v>
      </c>
    </row>
    <row r="857" spans="1:72" x14ac:dyDescent="0.15">
      <c r="A857" t="s">
        <v>72</v>
      </c>
      <c r="B857" t="s">
        <v>12208</v>
      </c>
      <c r="C857" t="s">
        <v>74</v>
      </c>
      <c r="D857" t="s">
        <v>74</v>
      </c>
      <c r="E857" t="s">
        <v>74</v>
      </c>
      <c r="F857" t="s">
        <v>12208</v>
      </c>
      <c r="G857" t="s">
        <v>74</v>
      </c>
      <c r="H857" t="s">
        <v>74</v>
      </c>
      <c r="I857" t="s">
        <v>12209</v>
      </c>
      <c r="J857" t="s">
        <v>12194</v>
      </c>
      <c r="K857" t="s">
        <v>74</v>
      </c>
      <c r="L857" t="s">
        <v>74</v>
      </c>
      <c r="M857" t="s">
        <v>77</v>
      </c>
      <c r="N857" t="s">
        <v>78</v>
      </c>
      <c r="O857" t="s">
        <v>74</v>
      </c>
      <c r="P857" t="s">
        <v>74</v>
      </c>
      <c r="Q857" t="s">
        <v>74</v>
      </c>
      <c r="R857" t="s">
        <v>74</v>
      </c>
      <c r="S857" t="s">
        <v>74</v>
      </c>
      <c r="T857" t="s">
        <v>12210</v>
      </c>
      <c r="U857" t="s">
        <v>12211</v>
      </c>
      <c r="V857" t="s">
        <v>12212</v>
      </c>
      <c r="W857" t="s">
        <v>12213</v>
      </c>
      <c r="X857" t="s">
        <v>12214</v>
      </c>
      <c r="Y857" t="s">
        <v>12215</v>
      </c>
      <c r="Z857" t="s">
        <v>74</v>
      </c>
      <c r="AA857" t="s">
        <v>74</v>
      </c>
      <c r="AB857" t="s">
        <v>74</v>
      </c>
      <c r="AC857" t="s">
        <v>74</v>
      </c>
      <c r="AD857" t="s">
        <v>74</v>
      </c>
      <c r="AE857" t="s">
        <v>74</v>
      </c>
      <c r="AF857" t="s">
        <v>74</v>
      </c>
      <c r="AG857">
        <v>37</v>
      </c>
      <c r="AH857">
        <v>14</v>
      </c>
      <c r="AI857">
        <v>17</v>
      </c>
      <c r="AJ857">
        <v>0</v>
      </c>
      <c r="AK857">
        <v>5</v>
      </c>
      <c r="AL857" t="s">
        <v>212</v>
      </c>
      <c r="AM857" t="s">
        <v>1813</v>
      </c>
      <c r="AN857" t="s">
        <v>11731</v>
      </c>
      <c r="AO857" t="s">
        <v>12202</v>
      </c>
      <c r="AP857" t="s">
        <v>12216</v>
      </c>
      <c r="AQ857" t="s">
        <v>74</v>
      </c>
      <c r="AR857" t="s">
        <v>12194</v>
      </c>
      <c r="AS857" t="s">
        <v>12203</v>
      </c>
      <c r="AT857" t="s">
        <v>74</v>
      </c>
      <c r="AU857">
        <v>2005</v>
      </c>
      <c r="AV857">
        <v>37</v>
      </c>
      <c r="AW857" t="s">
        <v>74</v>
      </c>
      <c r="AX857">
        <v>4</v>
      </c>
      <c r="AY857" t="s">
        <v>74</v>
      </c>
      <c r="AZ857" t="s">
        <v>74</v>
      </c>
      <c r="BA857" t="s">
        <v>74</v>
      </c>
      <c r="BB857">
        <v>321</v>
      </c>
      <c r="BC857">
        <v>327</v>
      </c>
      <c r="BD857" t="s">
        <v>74</v>
      </c>
      <c r="BE857" t="s">
        <v>12217</v>
      </c>
      <c r="BF857" t="str">
        <f>HYPERLINK("http://dx.doi.org/10.1017/S0024282905015094","http://dx.doi.org/10.1017/S0024282905015094")</f>
        <v>http://dx.doi.org/10.1017/S0024282905015094</v>
      </c>
      <c r="BG857" t="s">
        <v>74</v>
      </c>
      <c r="BH857" t="s">
        <v>74</v>
      </c>
      <c r="BI857">
        <v>7</v>
      </c>
      <c r="BJ857" t="s">
        <v>12205</v>
      </c>
      <c r="BK857" t="s">
        <v>95</v>
      </c>
      <c r="BL857" t="s">
        <v>12205</v>
      </c>
      <c r="BM857" t="s">
        <v>12218</v>
      </c>
      <c r="BN857" t="s">
        <v>74</v>
      </c>
      <c r="BO857" t="s">
        <v>74</v>
      </c>
      <c r="BP857" t="s">
        <v>74</v>
      </c>
      <c r="BQ857" t="s">
        <v>74</v>
      </c>
      <c r="BR857" t="s">
        <v>97</v>
      </c>
      <c r="BS857" t="s">
        <v>12219</v>
      </c>
      <c r="BT857" t="str">
        <f>HYPERLINK("https%3A%2F%2Fwww.webofscience.com%2Fwos%2Fwoscc%2Ffull-record%2FWOS:000231199100007","View Full Record in Web of Science")</f>
        <v>View Full Record in Web of Science</v>
      </c>
    </row>
    <row r="858" spans="1:72" x14ac:dyDescent="0.15">
      <c r="A858" t="s">
        <v>72</v>
      </c>
      <c r="B858" t="s">
        <v>12220</v>
      </c>
      <c r="C858" t="s">
        <v>74</v>
      </c>
      <c r="D858" t="s">
        <v>74</v>
      </c>
      <c r="E858" t="s">
        <v>74</v>
      </c>
      <c r="F858" t="s">
        <v>12220</v>
      </c>
      <c r="G858" t="s">
        <v>74</v>
      </c>
      <c r="H858" t="s">
        <v>74</v>
      </c>
      <c r="I858" t="s">
        <v>12221</v>
      </c>
      <c r="J858" t="s">
        <v>12194</v>
      </c>
      <c r="K858" t="s">
        <v>74</v>
      </c>
      <c r="L858" t="s">
        <v>74</v>
      </c>
      <c r="M858" t="s">
        <v>77</v>
      </c>
      <c r="N858" t="s">
        <v>249</v>
      </c>
      <c r="O858" t="s">
        <v>74</v>
      </c>
      <c r="P858" t="s">
        <v>74</v>
      </c>
      <c r="Q858" t="s">
        <v>74</v>
      </c>
      <c r="R858" t="s">
        <v>74</v>
      </c>
      <c r="S858" t="s">
        <v>74</v>
      </c>
      <c r="T858" t="s">
        <v>74</v>
      </c>
      <c r="U858" t="s">
        <v>74</v>
      </c>
      <c r="V858" t="s">
        <v>74</v>
      </c>
      <c r="W858" t="s">
        <v>4109</v>
      </c>
      <c r="X858" t="s">
        <v>671</v>
      </c>
      <c r="Y858" t="s">
        <v>12222</v>
      </c>
      <c r="Z858" t="s">
        <v>74</v>
      </c>
      <c r="AA858" t="s">
        <v>74</v>
      </c>
      <c r="AB858" t="s">
        <v>74</v>
      </c>
      <c r="AC858" t="s">
        <v>74</v>
      </c>
      <c r="AD858" t="s">
        <v>74</v>
      </c>
      <c r="AE858" t="s">
        <v>74</v>
      </c>
      <c r="AF858" t="s">
        <v>74</v>
      </c>
      <c r="AG858">
        <v>7</v>
      </c>
      <c r="AH858">
        <v>3</v>
      </c>
      <c r="AI858">
        <v>3</v>
      </c>
      <c r="AJ858">
        <v>0</v>
      </c>
      <c r="AK858">
        <v>1</v>
      </c>
      <c r="AL858" t="s">
        <v>212</v>
      </c>
      <c r="AM858" t="s">
        <v>1813</v>
      </c>
      <c r="AN858" t="s">
        <v>11731</v>
      </c>
      <c r="AO858" t="s">
        <v>12202</v>
      </c>
      <c r="AP858" t="s">
        <v>12216</v>
      </c>
      <c r="AQ858" t="s">
        <v>74</v>
      </c>
      <c r="AR858" t="s">
        <v>12194</v>
      </c>
      <c r="AS858" t="s">
        <v>12203</v>
      </c>
      <c r="AT858" t="s">
        <v>74</v>
      </c>
      <c r="AU858">
        <v>2005</v>
      </c>
      <c r="AV858">
        <v>37</v>
      </c>
      <c r="AW858" t="s">
        <v>74</v>
      </c>
      <c r="AX858">
        <v>4</v>
      </c>
      <c r="AY858" t="s">
        <v>74</v>
      </c>
      <c r="AZ858" t="s">
        <v>74</v>
      </c>
      <c r="BA858" t="s">
        <v>74</v>
      </c>
      <c r="BB858">
        <v>367</v>
      </c>
      <c r="BC858">
        <v>368</v>
      </c>
      <c r="BD858" t="s">
        <v>74</v>
      </c>
      <c r="BE858" t="s">
        <v>12223</v>
      </c>
      <c r="BF858" t="str">
        <f>HYPERLINK("http://dx.doi.org/10.1017/S0024282905015252","http://dx.doi.org/10.1017/S0024282905015252")</f>
        <v>http://dx.doi.org/10.1017/S0024282905015252</v>
      </c>
      <c r="BG858" t="s">
        <v>74</v>
      </c>
      <c r="BH858" t="s">
        <v>74</v>
      </c>
      <c r="BI858">
        <v>2</v>
      </c>
      <c r="BJ858" t="s">
        <v>12205</v>
      </c>
      <c r="BK858" t="s">
        <v>95</v>
      </c>
      <c r="BL858" t="s">
        <v>12205</v>
      </c>
      <c r="BM858" t="s">
        <v>12218</v>
      </c>
      <c r="BN858" t="s">
        <v>74</v>
      </c>
      <c r="BO858" t="s">
        <v>74</v>
      </c>
      <c r="BP858" t="s">
        <v>74</v>
      </c>
      <c r="BQ858" t="s">
        <v>74</v>
      </c>
      <c r="BR858" t="s">
        <v>97</v>
      </c>
      <c r="BS858" t="s">
        <v>12224</v>
      </c>
      <c r="BT858" t="str">
        <f>HYPERLINK("https%3A%2F%2Fwww.webofscience.com%2Fwos%2Fwoscc%2Ffull-record%2FWOS:000231199100012","View Full Record in Web of Science")</f>
        <v>View Full Record in Web of Science</v>
      </c>
    </row>
    <row r="859" spans="1:72" x14ac:dyDescent="0.15">
      <c r="A859" t="s">
        <v>72</v>
      </c>
      <c r="B859" t="s">
        <v>12225</v>
      </c>
      <c r="C859" t="s">
        <v>74</v>
      </c>
      <c r="D859" t="s">
        <v>74</v>
      </c>
      <c r="E859" t="s">
        <v>74</v>
      </c>
      <c r="F859" t="s">
        <v>12225</v>
      </c>
      <c r="G859" t="s">
        <v>74</v>
      </c>
      <c r="H859" t="s">
        <v>74</v>
      </c>
      <c r="I859" t="s">
        <v>12226</v>
      </c>
      <c r="J859" t="s">
        <v>3678</v>
      </c>
      <c r="K859" t="s">
        <v>74</v>
      </c>
      <c r="L859" t="s">
        <v>74</v>
      </c>
      <c r="M859" t="s">
        <v>77</v>
      </c>
      <c r="N859" t="s">
        <v>78</v>
      </c>
      <c r="O859" t="s">
        <v>74</v>
      </c>
      <c r="P859" t="s">
        <v>74</v>
      </c>
      <c r="Q859" t="s">
        <v>74</v>
      </c>
      <c r="R859" t="s">
        <v>74</v>
      </c>
      <c r="S859" t="s">
        <v>74</v>
      </c>
      <c r="T859" t="s">
        <v>74</v>
      </c>
      <c r="U859" t="s">
        <v>12227</v>
      </c>
      <c r="V859" t="s">
        <v>12228</v>
      </c>
      <c r="W859" t="s">
        <v>12229</v>
      </c>
      <c r="X859" t="s">
        <v>12230</v>
      </c>
      <c r="Y859" t="s">
        <v>12231</v>
      </c>
      <c r="Z859" t="s">
        <v>74</v>
      </c>
      <c r="AA859" t="s">
        <v>12232</v>
      </c>
      <c r="AB859" t="s">
        <v>74</v>
      </c>
      <c r="AC859" t="s">
        <v>74</v>
      </c>
      <c r="AD859" t="s">
        <v>74</v>
      </c>
      <c r="AE859" t="s">
        <v>74</v>
      </c>
      <c r="AF859" t="s">
        <v>74</v>
      </c>
      <c r="AG859">
        <v>53</v>
      </c>
      <c r="AH859">
        <v>76</v>
      </c>
      <c r="AI859">
        <v>82</v>
      </c>
      <c r="AJ859">
        <v>1</v>
      </c>
      <c r="AK859">
        <v>31</v>
      </c>
      <c r="AL859" t="s">
        <v>472</v>
      </c>
      <c r="AM859" t="s">
        <v>473</v>
      </c>
      <c r="AN859" t="s">
        <v>474</v>
      </c>
      <c r="AO859" t="s">
        <v>3683</v>
      </c>
      <c r="AP859" t="s">
        <v>3684</v>
      </c>
      <c r="AQ859" t="s">
        <v>74</v>
      </c>
      <c r="AR859" t="s">
        <v>3685</v>
      </c>
      <c r="AS859" t="s">
        <v>3686</v>
      </c>
      <c r="AT859" t="s">
        <v>9676</v>
      </c>
      <c r="AU859">
        <v>2005</v>
      </c>
      <c r="AV859">
        <v>50</v>
      </c>
      <c r="AW859">
        <v>1</v>
      </c>
      <c r="AX859" t="s">
        <v>74</v>
      </c>
      <c r="AY859" t="s">
        <v>74</v>
      </c>
      <c r="AZ859" t="s">
        <v>74</v>
      </c>
      <c r="BA859" t="s">
        <v>74</v>
      </c>
      <c r="BB859">
        <v>311</v>
      </c>
      <c r="BC859">
        <v>327</v>
      </c>
      <c r="BD859" t="s">
        <v>74</v>
      </c>
      <c r="BE859" t="s">
        <v>12233</v>
      </c>
      <c r="BF859" t="str">
        <f>HYPERLINK("http://dx.doi.org/10.4319/lo.2005.50.1.0311","http://dx.doi.org/10.4319/lo.2005.50.1.0311")</f>
        <v>http://dx.doi.org/10.4319/lo.2005.50.1.0311</v>
      </c>
      <c r="BG859" t="s">
        <v>74</v>
      </c>
      <c r="BH859" t="s">
        <v>74</v>
      </c>
      <c r="BI859">
        <v>17</v>
      </c>
      <c r="BJ859" t="s">
        <v>3688</v>
      </c>
      <c r="BK859" t="s">
        <v>95</v>
      </c>
      <c r="BL859" t="s">
        <v>3689</v>
      </c>
      <c r="BM859" t="s">
        <v>12234</v>
      </c>
      <c r="BN859" t="s">
        <v>74</v>
      </c>
      <c r="BO859" t="s">
        <v>3093</v>
      </c>
      <c r="BP859" t="s">
        <v>74</v>
      </c>
      <c r="BQ859" t="s">
        <v>74</v>
      </c>
      <c r="BR859" t="s">
        <v>97</v>
      </c>
      <c r="BS859" t="s">
        <v>12235</v>
      </c>
      <c r="BT859" t="str">
        <f>HYPERLINK("https%3A%2F%2Fwww.webofscience.com%2Fwos%2Fwoscc%2Ffull-record%2FWOS:000226406800030","View Full Record in Web of Science")</f>
        <v>View Full Record in Web of Science</v>
      </c>
    </row>
    <row r="860" spans="1:72" x14ac:dyDescent="0.15">
      <c r="A860" t="s">
        <v>72</v>
      </c>
      <c r="B860" t="s">
        <v>12236</v>
      </c>
      <c r="C860" t="s">
        <v>74</v>
      </c>
      <c r="D860" t="s">
        <v>74</v>
      </c>
      <c r="E860" t="s">
        <v>74</v>
      </c>
      <c r="F860" t="s">
        <v>12236</v>
      </c>
      <c r="G860" t="s">
        <v>74</v>
      </c>
      <c r="H860" t="s">
        <v>74</v>
      </c>
      <c r="I860" t="s">
        <v>12237</v>
      </c>
      <c r="J860" t="s">
        <v>12238</v>
      </c>
      <c r="K860" t="s">
        <v>74</v>
      </c>
      <c r="L860" t="s">
        <v>74</v>
      </c>
      <c r="M860" t="s">
        <v>77</v>
      </c>
      <c r="N860" t="s">
        <v>365</v>
      </c>
      <c r="O860" t="s">
        <v>74</v>
      </c>
      <c r="P860" t="s">
        <v>74</v>
      </c>
      <c r="Q860" t="s">
        <v>74</v>
      </c>
      <c r="R860" t="s">
        <v>74</v>
      </c>
      <c r="S860" t="s">
        <v>74</v>
      </c>
      <c r="T860" t="s">
        <v>12239</v>
      </c>
      <c r="U860" t="s">
        <v>12240</v>
      </c>
      <c r="V860" t="s">
        <v>12241</v>
      </c>
      <c r="W860" t="s">
        <v>12242</v>
      </c>
      <c r="X860" t="s">
        <v>12243</v>
      </c>
      <c r="Y860" t="s">
        <v>12244</v>
      </c>
      <c r="Z860" t="s">
        <v>12245</v>
      </c>
      <c r="AA860" t="s">
        <v>12246</v>
      </c>
      <c r="AB860" t="s">
        <v>12247</v>
      </c>
      <c r="AC860" t="s">
        <v>74</v>
      </c>
      <c r="AD860" t="s">
        <v>74</v>
      </c>
      <c r="AE860" t="s">
        <v>74</v>
      </c>
      <c r="AF860" t="s">
        <v>74</v>
      </c>
      <c r="AG860">
        <v>129</v>
      </c>
      <c r="AH860">
        <v>114</v>
      </c>
      <c r="AI860">
        <v>124</v>
      </c>
      <c r="AJ860">
        <v>3</v>
      </c>
      <c r="AK860">
        <v>41</v>
      </c>
      <c r="AL860" t="s">
        <v>472</v>
      </c>
      <c r="AM860" t="s">
        <v>473</v>
      </c>
      <c r="AN860" t="s">
        <v>474</v>
      </c>
      <c r="AO860" t="s">
        <v>12248</v>
      </c>
      <c r="AP860" t="s">
        <v>12249</v>
      </c>
      <c r="AQ860" t="s">
        <v>74</v>
      </c>
      <c r="AR860" t="s">
        <v>12250</v>
      </c>
      <c r="AS860" t="s">
        <v>12251</v>
      </c>
      <c r="AT860" t="s">
        <v>9676</v>
      </c>
      <c r="AU860">
        <v>2005</v>
      </c>
      <c r="AV860">
        <v>35</v>
      </c>
      <c r="AW860">
        <v>1</v>
      </c>
      <c r="AX860" t="s">
        <v>74</v>
      </c>
      <c r="AY860" t="s">
        <v>74</v>
      </c>
      <c r="AZ860" t="s">
        <v>74</v>
      </c>
      <c r="BA860" t="s">
        <v>74</v>
      </c>
      <c r="BB860">
        <v>82</v>
      </c>
      <c r="BC860">
        <v>100</v>
      </c>
      <c r="BD860" t="s">
        <v>74</v>
      </c>
      <c r="BE860" t="s">
        <v>12252</v>
      </c>
      <c r="BF860" t="str">
        <f>HYPERLINK("http://dx.doi.org/10.1111/j.1365-2907.2005.00055.x","http://dx.doi.org/10.1111/j.1365-2907.2005.00055.x")</f>
        <v>http://dx.doi.org/10.1111/j.1365-2907.2005.00055.x</v>
      </c>
      <c r="BG860" t="s">
        <v>74</v>
      </c>
      <c r="BH860" t="s">
        <v>74</v>
      </c>
      <c r="BI860">
        <v>19</v>
      </c>
      <c r="BJ860" t="s">
        <v>12253</v>
      </c>
      <c r="BK860" t="s">
        <v>95</v>
      </c>
      <c r="BL860" t="s">
        <v>12254</v>
      </c>
      <c r="BM860" t="s">
        <v>12255</v>
      </c>
      <c r="BN860" t="s">
        <v>74</v>
      </c>
      <c r="BO860" t="s">
        <v>74</v>
      </c>
      <c r="BP860" t="s">
        <v>74</v>
      </c>
      <c r="BQ860" t="s">
        <v>74</v>
      </c>
      <c r="BR860" t="s">
        <v>97</v>
      </c>
      <c r="BS860" t="s">
        <v>12256</v>
      </c>
      <c r="BT860" t="str">
        <f>HYPERLINK("https%3A%2F%2Fwww.webofscience.com%2Fwos%2Fwoscc%2Ffull-record%2FWOS:000226470900004","View Full Record in Web of Science")</f>
        <v>View Full Record in Web of Science</v>
      </c>
    </row>
    <row r="861" spans="1:72" x14ac:dyDescent="0.15">
      <c r="A861" t="s">
        <v>72</v>
      </c>
      <c r="B861" t="s">
        <v>12257</v>
      </c>
      <c r="C861" t="s">
        <v>74</v>
      </c>
      <c r="D861" t="s">
        <v>74</v>
      </c>
      <c r="E861" t="s">
        <v>74</v>
      </c>
      <c r="F861" t="s">
        <v>12257</v>
      </c>
      <c r="G861" t="s">
        <v>74</v>
      </c>
      <c r="H861" t="s">
        <v>74</v>
      </c>
      <c r="I861" t="s">
        <v>12258</v>
      </c>
      <c r="J861" t="s">
        <v>12259</v>
      </c>
      <c r="K861" t="s">
        <v>74</v>
      </c>
      <c r="L861" t="s">
        <v>74</v>
      </c>
      <c r="M861" t="s">
        <v>77</v>
      </c>
      <c r="N861" t="s">
        <v>78</v>
      </c>
      <c r="O861" t="s">
        <v>74</v>
      </c>
      <c r="P861" t="s">
        <v>74</v>
      </c>
      <c r="Q861" t="s">
        <v>74</v>
      </c>
      <c r="R861" t="s">
        <v>74</v>
      </c>
      <c r="S861" t="s">
        <v>74</v>
      </c>
      <c r="T861" t="s">
        <v>12260</v>
      </c>
      <c r="U861" t="s">
        <v>12261</v>
      </c>
      <c r="V861" t="s">
        <v>12262</v>
      </c>
      <c r="W861" t="s">
        <v>12263</v>
      </c>
      <c r="X861" t="s">
        <v>12264</v>
      </c>
      <c r="Y861" t="s">
        <v>4904</v>
      </c>
      <c r="Z861" t="s">
        <v>4905</v>
      </c>
      <c r="AA861" t="s">
        <v>935</v>
      </c>
      <c r="AB861" t="s">
        <v>74</v>
      </c>
      <c r="AC861" t="s">
        <v>74</v>
      </c>
      <c r="AD861" t="s">
        <v>74</v>
      </c>
      <c r="AE861" t="s">
        <v>74</v>
      </c>
      <c r="AF861" t="s">
        <v>74</v>
      </c>
      <c r="AG861">
        <v>23</v>
      </c>
      <c r="AH861">
        <v>19</v>
      </c>
      <c r="AI861">
        <v>21</v>
      </c>
      <c r="AJ861">
        <v>0</v>
      </c>
      <c r="AK861">
        <v>17</v>
      </c>
      <c r="AL861" t="s">
        <v>10565</v>
      </c>
      <c r="AM861" t="s">
        <v>10566</v>
      </c>
      <c r="AN861" t="s">
        <v>10567</v>
      </c>
      <c r="AO861" t="s">
        <v>12265</v>
      </c>
      <c r="AP861" t="s">
        <v>12266</v>
      </c>
      <c r="AQ861" t="s">
        <v>74</v>
      </c>
      <c r="AR861" t="s">
        <v>12267</v>
      </c>
      <c r="AS861" t="s">
        <v>12268</v>
      </c>
      <c r="AT861" t="s">
        <v>74</v>
      </c>
      <c r="AU861">
        <v>2005</v>
      </c>
      <c r="AV861">
        <v>56</v>
      </c>
      <c r="AW861">
        <v>4</v>
      </c>
      <c r="AX861" t="s">
        <v>74</v>
      </c>
      <c r="AY861" t="s">
        <v>74</v>
      </c>
      <c r="AZ861" t="s">
        <v>74</v>
      </c>
      <c r="BA861" t="s">
        <v>74</v>
      </c>
      <c r="BB861">
        <v>425</v>
      </c>
      <c r="BC861">
        <v>430</v>
      </c>
      <c r="BD861" t="s">
        <v>74</v>
      </c>
      <c r="BE861" t="s">
        <v>12269</v>
      </c>
      <c r="BF861" t="str">
        <f>HYPERLINK("http://dx.doi.org/10.1071/MF04248","http://dx.doi.org/10.1071/MF04248")</f>
        <v>http://dx.doi.org/10.1071/MF04248</v>
      </c>
      <c r="BG861" t="s">
        <v>74</v>
      </c>
      <c r="BH861" t="s">
        <v>74</v>
      </c>
      <c r="BI861">
        <v>6</v>
      </c>
      <c r="BJ861" t="s">
        <v>12270</v>
      </c>
      <c r="BK861" t="s">
        <v>95</v>
      </c>
      <c r="BL861" t="s">
        <v>1675</v>
      </c>
      <c r="BM861" t="s">
        <v>12271</v>
      </c>
      <c r="BN861" t="s">
        <v>74</v>
      </c>
      <c r="BO861" t="s">
        <v>74</v>
      </c>
      <c r="BP861" t="s">
        <v>74</v>
      </c>
      <c r="BQ861" t="s">
        <v>74</v>
      </c>
      <c r="BR861" t="s">
        <v>97</v>
      </c>
      <c r="BS861" t="s">
        <v>12272</v>
      </c>
      <c r="BT861" t="str">
        <f>HYPERLINK("https%3A%2F%2Fwww.webofscience.com%2Fwos%2Fwoscc%2Ffull-record%2FWOS:000230028500007","View Full Record in Web of Science")</f>
        <v>View Full Record in Web of Science</v>
      </c>
    </row>
    <row r="862" spans="1:72" x14ac:dyDescent="0.15">
      <c r="A862" t="s">
        <v>72</v>
      </c>
      <c r="B862" t="s">
        <v>12273</v>
      </c>
      <c r="C862" t="s">
        <v>74</v>
      </c>
      <c r="D862" t="s">
        <v>74</v>
      </c>
      <c r="E862" t="s">
        <v>74</v>
      </c>
      <c r="F862" t="s">
        <v>12273</v>
      </c>
      <c r="G862" t="s">
        <v>74</v>
      </c>
      <c r="H862" t="s">
        <v>74</v>
      </c>
      <c r="I862" t="s">
        <v>12274</v>
      </c>
      <c r="J862" t="s">
        <v>12259</v>
      </c>
      <c r="K862" t="s">
        <v>74</v>
      </c>
      <c r="L862" t="s">
        <v>74</v>
      </c>
      <c r="M862" t="s">
        <v>77</v>
      </c>
      <c r="N862" t="s">
        <v>78</v>
      </c>
      <c r="O862" t="s">
        <v>74</v>
      </c>
      <c r="P862" t="s">
        <v>74</v>
      </c>
      <c r="Q862" t="s">
        <v>74</v>
      </c>
      <c r="R862" t="s">
        <v>74</v>
      </c>
      <c r="S862" t="s">
        <v>74</v>
      </c>
      <c r="T862" t="s">
        <v>12275</v>
      </c>
      <c r="U862" t="s">
        <v>12276</v>
      </c>
      <c r="V862" t="s">
        <v>12277</v>
      </c>
      <c r="W862" t="s">
        <v>12278</v>
      </c>
      <c r="X862" t="s">
        <v>12279</v>
      </c>
      <c r="Y862" t="s">
        <v>12280</v>
      </c>
      <c r="Z862" t="s">
        <v>12281</v>
      </c>
      <c r="AA862" t="s">
        <v>12282</v>
      </c>
      <c r="AB862" t="s">
        <v>12283</v>
      </c>
      <c r="AC862" t="s">
        <v>74</v>
      </c>
      <c r="AD862" t="s">
        <v>74</v>
      </c>
      <c r="AE862" t="s">
        <v>74</v>
      </c>
      <c r="AF862" t="s">
        <v>74</v>
      </c>
      <c r="AG862">
        <v>30</v>
      </c>
      <c r="AH862">
        <v>8</v>
      </c>
      <c r="AI862">
        <v>8</v>
      </c>
      <c r="AJ862">
        <v>1</v>
      </c>
      <c r="AK862">
        <v>5</v>
      </c>
      <c r="AL862" t="s">
        <v>12284</v>
      </c>
      <c r="AM862" t="s">
        <v>12285</v>
      </c>
      <c r="AN862" t="s">
        <v>12286</v>
      </c>
      <c r="AO862" t="s">
        <v>12265</v>
      </c>
      <c r="AP862" t="s">
        <v>74</v>
      </c>
      <c r="AQ862" t="s">
        <v>74</v>
      </c>
      <c r="AR862" t="s">
        <v>12267</v>
      </c>
      <c r="AS862" t="s">
        <v>12268</v>
      </c>
      <c r="AT862" t="s">
        <v>74</v>
      </c>
      <c r="AU862">
        <v>2005</v>
      </c>
      <c r="AV862">
        <v>56</v>
      </c>
      <c r="AW862">
        <v>7</v>
      </c>
      <c r="AX862" t="s">
        <v>74</v>
      </c>
      <c r="AY862" t="s">
        <v>74</v>
      </c>
      <c r="AZ862" t="s">
        <v>74</v>
      </c>
      <c r="BA862" t="s">
        <v>74</v>
      </c>
      <c r="BB862">
        <v>1047</v>
      </c>
      <c r="BC862">
        <v>1053</v>
      </c>
      <c r="BD862" t="s">
        <v>74</v>
      </c>
      <c r="BE862" t="s">
        <v>12287</v>
      </c>
      <c r="BF862" t="str">
        <f>HYPERLINK("http://dx.doi.org/10.1071/MF05007","http://dx.doi.org/10.1071/MF05007")</f>
        <v>http://dx.doi.org/10.1071/MF05007</v>
      </c>
      <c r="BG862" t="s">
        <v>74</v>
      </c>
      <c r="BH862" t="s">
        <v>74</v>
      </c>
      <c r="BI862">
        <v>7</v>
      </c>
      <c r="BJ862" t="s">
        <v>12270</v>
      </c>
      <c r="BK862" t="s">
        <v>95</v>
      </c>
      <c r="BL862" t="s">
        <v>1675</v>
      </c>
      <c r="BM862" t="s">
        <v>12288</v>
      </c>
      <c r="BN862" t="s">
        <v>74</v>
      </c>
      <c r="BO862" t="s">
        <v>74</v>
      </c>
      <c r="BP862" t="s">
        <v>74</v>
      </c>
      <c r="BQ862" t="s">
        <v>74</v>
      </c>
      <c r="BR862" t="s">
        <v>97</v>
      </c>
      <c r="BS862" t="s">
        <v>12289</v>
      </c>
      <c r="BT862" t="str">
        <f>HYPERLINK("https%3A%2F%2Fwww.webofscience.com%2Fwos%2Fwoscc%2Ffull-record%2FWOS:000232983500011","View Full Record in Web of Science")</f>
        <v>View Full Record in Web of Science</v>
      </c>
    </row>
    <row r="863" spans="1:72" x14ac:dyDescent="0.15">
      <c r="A863" t="s">
        <v>72</v>
      </c>
      <c r="B863" t="s">
        <v>12290</v>
      </c>
      <c r="C863" t="s">
        <v>74</v>
      </c>
      <c r="D863" t="s">
        <v>74</v>
      </c>
      <c r="E863" t="s">
        <v>74</v>
      </c>
      <c r="F863" t="s">
        <v>12290</v>
      </c>
      <c r="G863" t="s">
        <v>74</v>
      </c>
      <c r="H863" t="s">
        <v>74</v>
      </c>
      <c r="I863" t="s">
        <v>12291</v>
      </c>
      <c r="J863" t="s">
        <v>12259</v>
      </c>
      <c r="K863" t="s">
        <v>74</v>
      </c>
      <c r="L863" t="s">
        <v>74</v>
      </c>
      <c r="M863" t="s">
        <v>77</v>
      </c>
      <c r="N863" t="s">
        <v>78</v>
      </c>
      <c r="O863" t="s">
        <v>74</v>
      </c>
      <c r="P863" t="s">
        <v>74</v>
      </c>
      <c r="Q863" t="s">
        <v>74</v>
      </c>
      <c r="R863" t="s">
        <v>74</v>
      </c>
      <c r="S863" t="s">
        <v>74</v>
      </c>
      <c r="T863" t="s">
        <v>12292</v>
      </c>
      <c r="U863" t="s">
        <v>12293</v>
      </c>
      <c r="V863" t="s">
        <v>12294</v>
      </c>
      <c r="W863" t="s">
        <v>12295</v>
      </c>
      <c r="X863" t="s">
        <v>12296</v>
      </c>
      <c r="Y863" t="s">
        <v>12297</v>
      </c>
      <c r="Z863" t="s">
        <v>12298</v>
      </c>
      <c r="AA863" t="s">
        <v>12299</v>
      </c>
      <c r="AB863" t="s">
        <v>12300</v>
      </c>
      <c r="AC863" t="s">
        <v>12301</v>
      </c>
      <c r="AD863" t="s">
        <v>2639</v>
      </c>
      <c r="AE863" t="s">
        <v>74</v>
      </c>
      <c r="AF863" t="s">
        <v>74</v>
      </c>
      <c r="AG863">
        <v>25</v>
      </c>
      <c r="AH863">
        <v>32</v>
      </c>
      <c r="AI863">
        <v>32</v>
      </c>
      <c r="AJ863">
        <v>0</v>
      </c>
      <c r="AK863">
        <v>17</v>
      </c>
      <c r="AL863" t="s">
        <v>12284</v>
      </c>
      <c r="AM863" t="s">
        <v>12285</v>
      </c>
      <c r="AN863" t="s">
        <v>12286</v>
      </c>
      <c r="AO863" t="s">
        <v>12265</v>
      </c>
      <c r="AP863" t="s">
        <v>74</v>
      </c>
      <c r="AQ863" t="s">
        <v>74</v>
      </c>
      <c r="AR863" t="s">
        <v>12267</v>
      </c>
      <c r="AS863" t="s">
        <v>12268</v>
      </c>
      <c r="AT863" t="s">
        <v>74</v>
      </c>
      <c r="AU863">
        <v>2005</v>
      </c>
      <c r="AV863">
        <v>56</v>
      </c>
      <c r="AW863">
        <v>8</v>
      </c>
      <c r="AX863" t="s">
        <v>74</v>
      </c>
      <c r="AY863" t="s">
        <v>74</v>
      </c>
      <c r="AZ863" t="s">
        <v>74</v>
      </c>
      <c r="BA863" t="s">
        <v>74</v>
      </c>
      <c r="BB863">
        <v>1069</v>
      </c>
      <c r="BC863">
        <v>1075</v>
      </c>
      <c r="BD863" t="s">
        <v>74</v>
      </c>
      <c r="BE863" t="s">
        <v>12302</v>
      </c>
      <c r="BF863" t="str">
        <f>HYPERLINK("http://dx.doi.org/10.1071/MF05097","http://dx.doi.org/10.1071/MF05097")</f>
        <v>http://dx.doi.org/10.1071/MF05097</v>
      </c>
      <c r="BG863" t="s">
        <v>74</v>
      </c>
      <c r="BH863" t="s">
        <v>74</v>
      </c>
      <c r="BI863">
        <v>7</v>
      </c>
      <c r="BJ863" t="s">
        <v>12270</v>
      </c>
      <c r="BK863" t="s">
        <v>95</v>
      </c>
      <c r="BL863" t="s">
        <v>1675</v>
      </c>
      <c r="BM863" t="s">
        <v>12303</v>
      </c>
      <c r="BN863" t="s">
        <v>74</v>
      </c>
      <c r="BO863" t="s">
        <v>74</v>
      </c>
      <c r="BP863" t="s">
        <v>74</v>
      </c>
      <c r="BQ863" t="s">
        <v>74</v>
      </c>
      <c r="BR863" t="s">
        <v>97</v>
      </c>
      <c r="BS863" t="s">
        <v>12304</v>
      </c>
      <c r="BT863" t="str">
        <f>HYPERLINK("https%3A%2F%2Fwww.webofscience.com%2Fwos%2Fwoscc%2Ffull-record%2FWOS:000233430600002","View Full Record in Web of Science")</f>
        <v>View Full Record in Web of Science</v>
      </c>
    </row>
    <row r="864" spans="1:72" x14ac:dyDescent="0.15">
      <c r="A864" t="s">
        <v>1269</v>
      </c>
      <c r="B864" t="s">
        <v>12305</v>
      </c>
      <c r="C864" t="s">
        <v>74</v>
      </c>
      <c r="D864" t="s">
        <v>12306</v>
      </c>
      <c r="E864" t="s">
        <v>74</v>
      </c>
      <c r="F864" t="s">
        <v>12305</v>
      </c>
      <c r="G864" t="s">
        <v>74</v>
      </c>
      <c r="H864" t="s">
        <v>74</v>
      </c>
      <c r="I864" t="s">
        <v>12307</v>
      </c>
      <c r="J864" t="s">
        <v>12308</v>
      </c>
      <c r="K864" t="s">
        <v>12309</v>
      </c>
      <c r="L864" t="s">
        <v>74</v>
      </c>
      <c r="M864" t="s">
        <v>77</v>
      </c>
      <c r="N864" t="s">
        <v>8991</v>
      </c>
      <c r="O864" t="s">
        <v>74</v>
      </c>
      <c r="P864" t="s">
        <v>74</v>
      </c>
      <c r="Q864" t="s">
        <v>74</v>
      </c>
      <c r="R864" t="s">
        <v>74</v>
      </c>
      <c r="S864" t="s">
        <v>74</v>
      </c>
      <c r="T864" t="s">
        <v>12310</v>
      </c>
      <c r="U864" t="s">
        <v>12311</v>
      </c>
      <c r="V864" t="s">
        <v>12312</v>
      </c>
      <c r="W864" t="s">
        <v>12313</v>
      </c>
      <c r="X864" t="s">
        <v>12314</v>
      </c>
      <c r="Y864" t="s">
        <v>12315</v>
      </c>
      <c r="Z864" t="s">
        <v>12316</v>
      </c>
      <c r="AA864" t="s">
        <v>74</v>
      </c>
      <c r="AB864" t="s">
        <v>74</v>
      </c>
      <c r="AC864" t="s">
        <v>74</v>
      </c>
      <c r="AD864" t="s">
        <v>74</v>
      </c>
      <c r="AE864" t="s">
        <v>74</v>
      </c>
      <c r="AF864" t="s">
        <v>74</v>
      </c>
      <c r="AG864">
        <v>118</v>
      </c>
      <c r="AH864">
        <v>18</v>
      </c>
      <c r="AI864">
        <v>22</v>
      </c>
      <c r="AJ864">
        <v>2</v>
      </c>
      <c r="AK864">
        <v>19</v>
      </c>
      <c r="AL864" t="s">
        <v>10460</v>
      </c>
      <c r="AM864" t="s">
        <v>9853</v>
      </c>
      <c r="AN864" t="s">
        <v>10461</v>
      </c>
      <c r="AO864" t="s">
        <v>12317</v>
      </c>
      <c r="AP864" t="s">
        <v>12318</v>
      </c>
      <c r="AQ864" t="s">
        <v>12319</v>
      </c>
      <c r="AR864" t="s">
        <v>12320</v>
      </c>
      <c r="AS864" t="s">
        <v>12321</v>
      </c>
      <c r="AT864" t="s">
        <v>74</v>
      </c>
      <c r="AU864">
        <v>2005</v>
      </c>
      <c r="AV864">
        <v>97</v>
      </c>
      <c r="AW864" t="s">
        <v>74</v>
      </c>
      <c r="AX864" t="s">
        <v>74</v>
      </c>
      <c r="AY864" t="s">
        <v>74</v>
      </c>
      <c r="AZ864" t="s">
        <v>74</v>
      </c>
      <c r="BA864" t="s">
        <v>74</v>
      </c>
      <c r="BB864">
        <v>29</v>
      </c>
      <c r="BC864">
        <v>62</v>
      </c>
      <c r="BD864" t="s">
        <v>74</v>
      </c>
      <c r="BE864" t="s">
        <v>12322</v>
      </c>
      <c r="BF864" t="str">
        <f>HYPERLINK("http://dx.doi.org/10.1007/b135822","http://dx.doi.org/10.1007/b135822")</f>
        <v>http://dx.doi.org/10.1007/b135822</v>
      </c>
      <c r="BG864" t="s">
        <v>12323</v>
      </c>
      <c r="BH864" t="s">
        <v>74</v>
      </c>
      <c r="BI864">
        <v>34</v>
      </c>
      <c r="BJ864" t="s">
        <v>2564</v>
      </c>
      <c r="BK864" t="s">
        <v>9025</v>
      </c>
      <c r="BL864" t="s">
        <v>2564</v>
      </c>
      <c r="BM864" t="s">
        <v>12324</v>
      </c>
      <c r="BN864">
        <v>16261805</v>
      </c>
      <c r="BO864" t="s">
        <v>74</v>
      </c>
      <c r="BP864" t="s">
        <v>74</v>
      </c>
      <c r="BQ864" t="s">
        <v>74</v>
      </c>
      <c r="BR864" t="s">
        <v>97</v>
      </c>
      <c r="BS864" t="s">
        <v>12325</v>
      </c>
      <c r="BT864" t="str">
        <f>HYPERLINK("https%3A%2F%2Fwww.webofscience.com%2Fwos%2Fwoscc%2Ffull-record%2FWOS:000234108100002","View Full Record in Web of Science")</f>
        <v>View Full Record in Web of Science</v>
      </c>
    </row>
    <row r="865" spans="1:72" x14ac:dyDescent="0.15">
      <c r="A865" t="s">
        <v>72</v>
      </c>
      <c r="B865" t="s">
        <v>12326</v>
      </c>
      <c r="C865" t="s">
        <v>74</v>
      </c>
      <c r="D865" t="s">
        <v>74</v>
      </c>
      <c r="E865" t="s">
        <v>74</v>
      </c>
      <c r="F865" t="s">
        <v>12326</v>
      </c>
      <c r="G865" t="s">
        <v>74</v>
      </c>
      <c r="H865" t="s">
        <v>74</v>
      </c>
      <c r="I865" t="s">
        <v>12327</v>
      </c>
      <c r="J865" t="s">
        <v>12328</v>
      </c>
      <c r="K865" t="s">
        <v>74</v>
      </c>
      <c r="L865" t="s">
        <v>74</v>
      </c>
      <c r="M865" t="s">
        <v>77</v>
      </c>
      <c r="N865" t="s">
        <v>78</v>
      </c>
      <c r="O865" t="s">
        <v>74</v>
      </c>
      <c r="P865" t="s">
        <v>74</v>
      </c>
      <c r="Q865" t="s">
        <v>74</v>
      </c>
      <c r="R865" t="s">
        <v>74</v>
      </c>
      <c r="S865" t="s">
        <v>74</v>
      </c>
      <c r="T865" t="s">
        <v>12329</v>
      </c>
      <c r="U865" t="s">
        <v>12330</v>
      </c>
      <c r="V865" t="s">
        <v>12331</v>
      </c>
      <c r="W865" t="s">
        <v>12332</v>
      </c>
      <c r="X865" t="s">
        <v>12333</v>
      </c>
      <c r="Y865" t="s">
        <v>12334</v>
      </c>
      <c r="Z865" t="s">
        <v>12335</v>
      </c>
      <c r="AA865" t="s">
        <v>12336</v>
      </c>
      <c r="AB865" t="s">
        <v>12337</v>
      </c>
      <c r="AC865" t="s">
        <v>74</v>
      </c>
      <c r="AD865" t="s">
        <v>74</v>
      </c>
      <c r="AE865" t="s">
        <v>74</v>
      </c>
      <c r="AF865" t="s">
        <v>74</v>
      </c>
      <c r="AG865">
        <v>51</v>
      </c>
      <c r="AH865">
        <v>41</v>
      </c>
      <c r="AI865">
        <v>45</v>
      </c>
      <c r="AJ865">
        <v>0</v>
      </c>
      <c r="AK865">
        <v>16</v>
      </c>
      <c r="AL865" t="s">
        <v>12338</v>
      </c>
      <c r="AM865" t="s">
        <v>12339</v>
      </c>
      <c r="AN865" t="s">
        <v>12340</v>
      </c>
      <c r="AO865" t="s">
        <v>12341</v>
      </c>
      <c r="AP865" t="s">
        <v>74</v>
      </c>
      <c r="AQ865" t="s">
        <v>74</v>
      </c>
      <c r="AR865" t="s">
        <v>12342</v>
      </c>
      <c r="AS865" t="s">
        <v>12343</v>
      </c>
      <c r="AT865" t="s">
        <v>74</v>
      </c>
      <c r="AU865">
        <v>2005</v>
      </c>
      <c r="AV865">
        <v>305</v>
      </c>
      <c r="AW865" t="s">
        <v>74</v>
      </c>
      <c r="AX865" t="s">
        <v>74</v>
      </c>
      <c r="AY865" t="s">
        <v>74</v>
      </c>
      <c r="AZ865" t="s">
        <v>74</v>
      </c>
      <c r="BA865" t="s">
        <v>74</v>
      </c>
      <c r="BB865">
        <v>101</v>
      </c>
      <c r="BC865">
        <v>111</v>
      </c>
      <c r="BD865" t="s">
        <v>74</v>
      </c>
      <c r="BE865" t="s">
        <v>12344</v>
      </c>
      <c r="BF865" t="str">
        <f>HYPERLINK("http://dx.doi.org/10.3354/meps305101","http://dx.doi.org/10.3354/meps305101")</f>
        <v>http://dx.doi.org/10.3354/meps305101</v>
      </c>
      <c r="BG865" t="s">
        <v>74</v>
      </c>
      <c r="BH865" t="s">
        <v>74</v>
      </c>
      <c r="BI865">
        <v>11</v>
      </c>
      <c r="BJ865" t="s">
        <v>12345</v>
      </c>
      <c r="BK865" t="s">
        <v>95</v>
      </c>
      <c r="BL865" t="s">
        <v>12346</v>
      </c>
      <c r="BM865" t="s">
        <v>12347</v>
      </c>
      <c r="BN865" t="s">
        <v>74</v>
      </c>
      <c r="BO865" t="s">
        <v>539</v>
      </c>
      <c r="BP865" t="s">
        <v>74</v>
      </c>
      <c r="BQ865" t="s">
        <v>74</v>
      </c>
      <c r="BR865" t="s">
        <v>97</v>
      </c>
      <c r="BS865" t="s">
        <v>12348</v>
      </c>
      <c r="BT865" t="str">
        <f>HYPERLINK("https%3A%2F%2Fwww.webofscience.com%2Fwos%2Fwoscc%2Ffull-record%2FWOS:000235079200008","View Full Record in Web of Science")</f>
        <v>View Full Record in Web of Science</v>
      </c>
    </row>
    <row r="866" spans="1:72" x14ac:dyDescent="0.15">
      <c r="A866" t="s">
        <v>72</v>
      </c>
      <c r="B866" t="s">
        <v>12349</v>
      </c>
      <c r="C866" t="s">
        <v>74</v>
      </c>
      <c r="D866" t="s">
        <v>74</v>
      </c>
      <c r="E866" t="s">
        <v>74</v>
      </c>
      <c r="F866" t="s">
        <v>12349</v>
      </c>
      <c r="G866" t="s">
        <v>74</v>
      </c>
      <c r="H866" t="s">
        <v>74</v>
      </c>
      <c r="I866" t="s">
        <v>12350</v>
      </c>
      <c r="J866" t="s">
        <v>12328</v>
      </c>
      <c r="K866" t="s">
        <v>74</v>
      </c>
      <c r="L866" t="s">
        <v>74</v>
      </c>
      <c r="M866" t="s">
        <v>77</v>
      </c>
      <c r="N866" t="s">
        <v>78</v>
      </c>
      <c r="O866" t="s">
        <v>74</v>
      </c>
      <c r="P866" t="s">
        <v>74</v>
      </c>
      <c r="Q866" t="s">
        <v>74</v>
      </c>
      <c r="R866" t="s">
        <v>74</v>
      </c>
      <c r="S866" t="s">
        <v>74</v>
      </c>
      <c r="T866" t="s">
        <v>12351</v>
      </c>
      <c r="U866" t="s">
        <v>12352</v>
      </c>
      <c r="V866" t="s">
        <v>12353</v>
      </c>
      <c r="W866" t="s">
        <v>670</v>
      </c>
      <c r="X866" t="s">
        <v>671</v>
      </c>
      <c r="Y866" t="s">
        <v>3410</v>
      </c>
      <c r="Z866" t="s">
        <v>3411</v>
      </c>
      <c r="AA866" t="s">
        <v>12354</v>
      </c>
      <c r="AB866" t="s">
        <v>12355</v>
      </c>
      <c r="AC866" t="s">
        <v>74</v>
      </c>
      <c r="AD866" t="s">
        <v>74</v>
      </c>
      <c r="AE866" t="s">
        <v>74</v>
      </c>
      <c r="AF866" t="s">
        <v>74</v>
      </c>
      <c r="AG866">
        <v>43</v>
      </c>
      <c r="AH866">
        <v>17</v>
      </c>
      <c r="AI866">
        <v>19</v>
      </c>
      <c r="AJ866">
        <v>0</v>
      </c>
      <c r="AK866">
        <v>11</v>
      </c>
      <c r="AL866" t="s">
        <v>12338</v>
      </c>
      <c r="AM866" t="s">
        <v>12339</v>
      </c>
      <c r="AN866" t="s">
        <v>12340</v>
      </c>
      <c r="AO866" t="s">
        <v>12341</v>
      </c>
      <c r="AP866" t="s">
        <v>12356</v>
      </c>
      <c r="AQ866" t="s">
        <v>74</v>
      </c>
      <c r="AR866" t="s">
        <v>12342</v>
      </c>
      <c r="AS866" t="s">
        <v>12343</v>
      </c>
      <c r="AT866" t="s">
        <v>74</v>
      </c>
      <c r="AU866">
        <v>2005</v>
      </c>
      <c r="AV866">
        <v>305</v>
      </c>
      <c r="AW866" t="s">
        <v>74</v>
      </c>
      <c r="AX866" t="s">
        <v>74</v>
      </c>
      <c r="AY866" t="s">
        <v>74</v>
      </c>
      <c r="AZ866" t="s">
        <v>74</v>
      </c>
      <c r="BA866" t="s">
        <v>74</v>
      </c>
      <c r="BB866">
        <v>153</v>
      </c>
      <c r="BC866">
        <v>161</v>
      </c>
      <c r="BD866" t="s">
        <v>74</v>
      </c>
      <c r="BE866" t="s">
        <v>12357</v>
      </c>
      <c r="BF866" t="str">
        <f>HYPERLINK("http://dx.doi.org/10.3354/meps305153","http://dx.doi.org/10.3354/meps305153")</f>
        <v>http://dx.doi.org/10.3354/meps305153</v>
      </c>
      <c r="BG866" t="s">
        <v>74</v>
      </c>
      <c r="BH866" t="s">
        <v>74</v>
      </c>
      <c r="BI866">
        <v>9</v>
      </c>
      <c r="BJ866" t="s">
        <v>12345</v>
      </c>
      <c r="BK866" t="s">
        <v>95</v>
      </c>
      <c r="BL866" t="s">
        <v>12346</v>
      </c>
      <c r="BM866" t="s">
        <v>12347</v>
      </c>
      <c r="BN866" t="s">
        <v>74</v>
      </c>
      <c r="BO866" t="s">
        <v>539</v>
      </c>
      <c r="BP866" t="s">
        <v>74</v>
      </c>
      <c r="BQ866" t="s">
        <v>74</v>
      </c>
      <c r="BR866" t="s">
        <v>97</v>
      </c>
      <c r="BS866" t="s">
        <v>12358</v>
      </c>
      <c r="BT866" t="str">
        <f>HYPERLINK("https%3A%2F%2Fwww.webofscience.com%2Fwos%2Fwoscc%2Ffull-record%2FWOS:000235079200013","View Full Record in Web of Science")</f>
        <v>View Full Record in Web of Science</v>
      </c>
    </row>
    <row r="867" spans="1:72" x14ac:dyDescent="0.15">
      <c r="A867" t="s">
        <v>72</v>
      </c>
      <c r="B867" t="s">
        <v>12359</v>
      </c>
      <c r="C867" t="s">
        <v>74</v>
      </c>
      <c r="D867" t="s">
        <v>74</v>
      </c>
      <c r="E867" t="s">
        <v>74</v>
      </c>
      <c r="F867" t="s">
        <v>12359</v>
      </c>
      <c r="G867" t="s">
        <v>74</v>
      </c>
      <c r="H867" t="s">
        <v>74</v>
      </c>
      <c r="I867" t="s">
        <v>12360</v>
      </c>
      <c r="J867" t="s">
        <v>12328</v>
      </c>
      <c r="K867" t="s">
        <v>74</v>
      </c>
      <c r="L867" t="s">
        <v>74</v>
      </c>
      <c r="M867" t="s">
        <v>77</v>
      </c>
      <c r="N867" t="s">
        <v>78</v>
      </c>
      <c r="O867" t="s">
        <v>74</v>
      </c>
      <c r="P867" t="s">
        <v>74</v>
      </c>
      <c r="Q867" t="s">
        <v>74</v>
      </c>
      <c r="R867" t="s">
        <v>74</v>
      </c>
      <c r="S867" t="s">
        <v>74</v>
      </c>
      <c r="T867" t="s">
        <v>12361</v>
      </c>
      <c r="U867" t="s">
        <v>12362</v>
      </c>
      <c r="V867" t="s">
        <v>12363</v>
      </c>
      <c r="W867" t="s">
        <v>12364</v>
      </c>
      <c r="X867" t="s">
        <v>12365</v>
      </c>
      <c r="Y867" t="s">
        <v>7698</v>
      </c>
      <c r="Z867" t="s">
        <v>6769</v>
      </c>
      <c r="AA867" t="s">
        <v>6770</v>
      </c>
      <c r="AB867" t="s">
        <v>6771</v>
      </c>
      <c r="AC867" t="s">
        <v>74</v>
      </c>
      <c r="AD867" t="s">
        <v>74</v>
      </c>
      <c r="AE867" t="s">
        <v>74</v>
      </c>
      <c r="AF867" t="s">
        <v>74</v>
      </c>
      <c r="AG867">
        <v>49</v>
      </c>
      <c r="AH867">
        <v>66</v>
      </c>
      <c r="AI867">
        <v>80</v>
      </c>
      <c r="AJ867">
        <v>3</v>
      </c>
      <c r="AK867">
        <v>114</v>
      </c>
      <c r="AL867" t="s">
        <v>12338</v>
      </c>
      <c r="AM867" t="s">
        <v>12339</v>
      </c>
      <c r="AN867" t="s">
        <v>12340</v>
      </c>
      <c r="AO867" t="s">
        <v>12341</v>
      </c>
      <c r="AP867" t="s">
        <v>12356</v>
      </c>
      <c r="AQ867" t="s">
        <v>74</v>
      </c>
      <c r="AR867" t="s">
        <v>12342</v>
      </c>
      <c r="AS867" t="s">
        <v>12343</v>
      </c>
      <c r="AT867" t="s">
        <v>74</v>
      </c>
      <c r="AU867">
        <v>2005</v>
      </c>
      <c r="AV867">
        <v>305</v>
      </c>
      <c r="AW867" t="s">
        <v>74</v>
      </c>
      <c r="AX867" t="s">
        <v>74</v>
      </c>
      <c r="AY867" t="s">
        <v>74</v>
      </c>
      <c r="AZ867" t="s">
        <v>74</v>
      </c>
      <c r="BA867" t="s">
        <v>74</v>
      </c>
      <c r="BB867">
        <v>249</v>
      </c>
      <c r="BC867">
        <v>259</v>
      </c>
      <c r="BD867" t="s">
        <v>74</v>
      </c>
      <c r="BE867" t="s">
        <v>12366</v>
      </c>
      <c r="BF867" t="str">
        <f>HYPERLINK("http://dx.doi.org/10.3354/meps305249","http://dx.doi.org/10.3354/meps305249")</f>
        <v>http://dx.doi.org/10.3354/meps305249</v>
      </c>
      <c r="BG867" t="s">
        <v>74</v>
      </c>
      <c r="BH867" t="s">
        <v>74</v>
      </c>
      <c r="BI867">
        <v>11</v>
      </c>
      <c r="BJ867" t="s">
        <v>12345</v>
      </c>
      <c r="BK867" t="s">
        <v>95</v>
      </c>
      <c r="BL867" t="s">
        <v>12346</v>
      </c>
      <c r="BM867" t="s">
        <v>12347</v>
      </c>
      <c r="BN867" t="s">
        <v>74</v>
      </c>
      <c r="BO867" t="s">
        <v>539</v>
      </c>
      <c r="BP867" t="s">
        <v>74</v>
      </c>
      <c r="BQ867" t="s">
        <v>74</v>
      </c>
      <c r="BR867" t="s">
        <v>97</v>
      </c>
      <c r="BS867" t="s">
        <v>12367</v>
      </c>
      <c r="BT867" t="str">
        <f>HYPERLINK("https%3A%2F%2Fwww.webofscience.com%2Fwos%2Fwoscc%2Ffull-record%2FWOS:000235079200020","View Full Record in Web of Science")</f>
        <v>View Full Record in Web of Science</v>
      </c>
    </row>
    <row r="868" spans="1:72" x14ac:dyDescent="0.15">
      <c r="A868" t="s">
        <v>72</v>
      </c>
      <c r="B868" t="s">
        <v>12368</v>
      </c>
      <c r="C868" t="s">
        <v>74</v>
      </c>
      <c r="D868" t="s">
        <v>74</v>
      </c>
      <c r="E868" t="s">
        <v>74</v>
      </c>
      <c r="F868" t="s">
        <v>12368</v>
      </c>
      <c r="G868" t="s">
        <v>74</v>
      </c>
      <c r="H868" t="s">
        <v>74</v>
      </c>
      <c r="I868" t="s">
        <v>12369</v>
      </c>
      <c r="J868" t="s">
        <v>12328</v>
      </c>
      <c r="K868" t="s">
        <v>74</v>
      </c>
      <c r="L868" t="s">
        <v>74</v>
      </c>
      <c r="M868" t="s">
        <v>77</v>
      </c>
      <c r="N868" t="s">
        <v>78</v>
      </c>
      <c r="O868" t="s">
        <v>74</v>
      </c>
      <c r="P868" t="s">
        <v>74</v>
      </c>
      <c r="Q868" t="s">
        <v>74</v>
      </c>
      <c r="R868" t="s">
        <v>74</v>
      </c>
      <c r="S868" t="s">
        <v>74</v>
      </c>
      <c r="T868" t="s">
        <v>12370</v>
      </c>
      <c r="U868" t="s">
        <v>12371</v>
      </c>
      <c r="V868" t="s">
        <v>12372</v>
      </c>
      <c r="W868" t="s">
        <v>12373</v>
      </c>
      <c r="X868" t="s">
        <v>12374</v>
      </c>
      <c r="Y868" t="s">
        <v>12375</v>
      </c>
      <c r="Z868" t="s">
        <v>12376</v>
      </c>
      <c r="AA868" t="s">
        <v>12377</v>
      </c>
      <c r="AB868" t="s">
        <v>12378</v>
      </c>
      <c r="AC868" t="s">
        <v>74</v>
      </c>
      <c r="AD868" t="s">
        <v>74</v>
      </c>
      <c r="AE868" t="s">
        <v>74</v>
      </c>
      <c r="AF868" t="s">
        <v>74</v>
      </c>
      <c r="AG868">
        <v>43</v>
      </c>
      <c r="AH868">
        <v>63</v>
      </c>
      <c r="AI868">
        <v>64</v>
      </c>
      <c r="AJ868">
        <v>0</v>
      </c>
      <c r="AK868">
        <v>14</v>
      </c>
      <c r="AL868" t="s">
        <v>12338</v>
      </c>
      <c r="AM868" t="s">
        <v>12339</v>
      </c>
      <c r="AN868" t="s">
        <v>12340</v>
      </c>
      <c r="AO868" t="s">
        <v>12341</v>
      </c>
      <c r="AP868" t="s">
        <v>12356</v>
      </c>
      <c r="AQ868" t="s">
        <v>74</v>
      </c>
      <c r="AR868" t="s">
        <v>12342</v>
      </c>
      <c r="AS868" t="s">
        <v>12343</v>
      </c>
      <c r="AT868" t="s">
        <v>74</v>
      </c>
      <c r="AU868">
        <v>2005</v>
      </c>
      <c r="AV868">
        <v>304</v>
      </c>
      <c r="AW868" t="s">
        <v>74</v>
      </c>
      <c r="AX868" t="s">
        <v>74</v>
      </c>
      <c r="AY868" t="s">
        <v>74</v>
      </c>
      <c r="AZ868" t="s">
        <v>74</v>
      </c>
      <c r="BA868" t="s">
        <v>74</v>
      </c>
      <c r="BB868">
        <v>235</v>
      </c>
      <c r="BC868">
        <v>247</v>
      </c>
      <c r="BD868" t="s">
        <v>74</v>
      </c>
      <c r="BE868" t="s">
        <v>12379</v>
      </c>
      <c r="BF868" t="str">
        <f>HYPERLINK("http://dx.doi.org/10.3354/meps304235","http://dx.doi.org/10.3354/meps304235")</f>
        <v>http://dx.doi.org/10.3354/meps304235</v>
      </c>
      <c r="BG868" t="s">
        <v>74</v>
      </c>
      <c r="BH868" t="s">
        <v>74</v>
      </c>
      <c r="BI868">
        <v>13</v>
      </c>
      <c r="BJ868" t="s">
        <v>12345</v>
      </c>
      <c r="BK868" t="s">
        <v>95</v>
      </c>
      <c r="BL868" t="s">
        <v>12346</v>
      </c>
      <c r="BM868" t="s">
        <v>12380</v>
      </c>
      <c r="BN868" t="s">
        <v>74</v>
      </c>
      <c r="BO868" t="s">
        <v>539</v>
      </c>
      <c r="BP868" t="s">
        <v>74</v>
      </c>
      <c r="BQ868" t="s">
        <v>74</v>
      </c>
      <c r="BR868" t="s">
        <v>97</v>
      </c>
      <c r="BS868" t="s">
        <v>12381</v>
      </c>
      <c r="BT868" t="str">
        <f>HYPERLINK("https%3A%2F%2Fwww.webofscience.com%2Fwos%2Fwoscc%2Ffull-record%2FWOS:000234750100021","View Full Record in Web of Science")</f>
        <v>View Full Record in Web of Science</v>
      </c>
    </row>
    <row r="869" spans="1:72" x14ac:dyDescent="0.15">
      <c r="A869" t="s">
        <v>72</v>
      </c>
      <c r="B869" t="s">
        <v>12382</v>
      </c>
      <c r="C869" t="s">
        <v>74</v>
      </c>
      <c r="D869" t="s">
        <v>74</v>
      </c>
      <c r="E869" t="s">
        <v>74</v>
      </c>
      <c r="F869" t="s">
        <v>12382</v>
      </c>
      <c r="G869" t="s">
        <v>74</v>
      </c>
      <c r="H869" t="s">
        <v>74</v>
      </c>
      <c r="I869" t="s">
        <v>12383</v>
      </c>
      <c r="J869" t="s">
        <v>12328</v>
      </c>
      <c r="K869" t="s">
        <v>74</v>
      </c>
      <c r="L869" t="s">
        <v>74</v>
      </c>
      <c r="M869" t="s">
        <v>77</v>
      </c>
      <c r="N869" t="s">
        <v>78</v>
      </c>
      <c r="O869" t="s">
        <v>74</v>
      </c>
      <c r="P869" t="s">
        <v>74</v>
      </c>
      <c r="Q869" t="s">
        <v>74</v>
      </c>
      <c r="R869" t="s">
        <v>74</v>
      </c>
      <c r="S869" t="s">
        <v>74</v>
      </c>
      <c r="T869" t="s">
        <v>12384</v>
      </c>
      <c r="U869" t="s">
        <v>12385</v>
      </c>
      <c r="V869" t="s">
        <v>12386</v>
      </c>
      <c r="W869" t="s">
        <v>5663</v>
      </c>
      <c r="X869" t="s">
        <v>1395</v>
      </c>
      <c r="Y869" t="s">
        <v>12387</v>
      </c>
      <c r="Z869" t="s">
        <v>1412</v>
      </c>
      <c r="AA869" t="s">
        <v>5665</v>
      </c>
      <c r="AB869" t="s">
        <v>74</v>
      </c>
      <c r="AC869" t="s">
        <v>74</v>
      </c>
      <c r="AD869" t="s">
        <v>74</v>
      </c>
      <c r="AE869" t="s">
        <v>74</v>
      </c>
      <c r="AF869" t="s">
        <v>74</v>
      </c>
      <c r="AG869">
        <v>48</v>
      </c>
      <c r="AH869">
        <v>17</v>
      </c>
      <c r="AI869">
        <v>25</v>
      </c>
      <c r="AJ869">
        <v>1</v>
      </c>
      <c r="AK869">
        <v>7</v>
      </c>
      <c r="AL869" t="s">
        <v>12338</v>
      </c>
      <c r="AM869" t="s">
        <v>12339</v>
      </c>
      <c r="AN869" t="s">
        <v>12340</v>
      </c>
      <c r="AO869" t="s">
        <v>12341</v>
      </c>
      <c r="AP869" t="s">
        <v>12356</v>
      </c>
      <c r="AQ869" t="s">
        <v>74</v>
      </c>
      <c r="AR869" t="s">
        <v>12342</v>
      </c>
      <c r="AS869" t="s">
        <v>12343</v>
      </c>
      <c r="AT869" t="s">
        <v>74</v>
      </c>
      <c r="AU869">
        <v>2005</v>
      </c>
      <c r="AV869">
        <v>303</v>
      </c>
      <c r="AW869" t="s">
        <v>74</v>
      </c>
      <c r="AX869" t="s">
        <v>74</v>
      </c>
      <c r="AY869" t="s">
        <v>74</v>
      </c>
      <c r="AZ869" t="s">
        <v>74</v>
      </c>
      <c r="BA869" t="s">
        <v>74</v>
      </c>
      <c r="BB869">
        <v>43</v>
      </c>
      <c r="BC869">
        <v>50</v>
      </c>
      <c r="BD869" t="s">
        <v>74</v>
      </c>
      <c r="BE869" t="s">
        <v>12388</v>
      </c>
      <c r="BF869" t="str">
        <f>HYPERLINK("http://dx.doi.org/10.3354/meps303043","http://dx.doi.org/10.3354/meps303043")</f>
        <v>http://dx.doi.org/10.3354/meps303043</v>
      </c>
      <c r="BG869" t="s">
        <v>74</v>
      </c>
      <c r="BH869" t="s">
        <v>74</v>
      </c>
      <c r="BI869">
        <v>8</v>
      </c>
      <c r="BJ869" t="s">
        <v>12345</v>
      </c>
      <c r="BK869" t="s">
        <v>95</v>
      </c>
      <c r="BL869" t="s">
        <v>12346</v>
      </c>
      <c r="BM869" t="s">
        <v>12389</v>
      </c>
      <c r="BN869" t="s">
        <v>74</v>
      </c>
      <c r="BO869" t="s">
        <v>539</v>
      </c>
      <c r="BP869" t="s">
        <v>74</v>
      </c>
      <c r="BQ869" t="s">
        <v>74</v>
      </c>
      <c r="BR869" t="s">
        <v>97</v>
      </c>
      <c r="BS869" t="s">
        <v>12390</v>
      </c>
      <c r="BT869" t="str">
        <f>HYPERLINK("https%3A%2F%2Fwww.webofscience.com%2Fwos%2Fwoscc%2Ffull-record%2FWOS:000234214500003","View Full Record in Web of Science")</f>
        <v>View Full Record in Web of Science</v>
      </c>
    </row>
    <row r="870" spans="1:72" x14ac:dyDescent="0.15">
      <c r="A870" t="s">
        <v>72</v>
      </c>
      <c r="B870" t="s">
        <v>12391</v>
      </c>
      <c r="C870" t="s">
        <v>74</v>
      </c>
      <c r="D870" t="s">
        <v>74</v>
      </c>
      <c r="E870" t="s">
        <v>74</v>
      </c>
      <c r="F870" t="s">
        <v>12391</v>
      </c>
      <c r="G870" t="s">
        <v>74</v>
      </c>
      <c r="H870" t="s">
        <v>74</v>
      </c>
      <c r="I870" t="s">
        <v>12392</v>
      </c>
      <c r="J870" t="s">
        <v>12328</v>
      </c>
      <c r="K870" t="s">
        <v>74</v>
      </c>
      <c r="L870" t="s">
        <v>74</v>
      </c>
      <c r="M870" t="s">
        <v>77</v>
      </c>
      <c r="N870" t="s">
        <v>78</v>
      </c>
      <c r="O870" t="s">
        <v>74</v>
      </c>
      <c r="P870" t="s">
        <v>74</v>
      </c>
      <c r="Q870" t="s">
        <v>74</v>
      </c>
      <c r="R870" t="s">
        <v>74</v>
      </c>
      <c r="S870" t="s">
        <v>74</v>
      </c>
      <c r="T870" t="s">
        <v>12393</v>
      </c>
      <c r="U870" t="s">
        <v>12394</v>
      </c>
      <c r="V870" t="s">
        <v>12395</v>
      </c>
      <c r="W870" t="s">
        <v>12396</v>
      </c>
      <c r="X870" t="s">
        <v>2003</v>
      </c>
      <c r="Y870" t="s">
        <v>12397</v>
      </c>
      <c r="Z870" t="s">
        <v>12398</v>
      </c>
      <c r="AA870" t="s">
        <v>74</v>
      </c>
      <c r="AB870" t="s">
        <v>74</v>
      </c>
      <c r="AC870" t="s">
        <v>74</v>
      </c>
      <c r="AD870" t="s">
        <v>74</v>
      </c>
      <c r="AE870" t="s">
        <v>74</v>
      </c>
      <c r="AF870" t="s">
        <v>74</v>
      </c>
      <c r="AG870">
        <v>95</v>
      </c>
      <c r="AH870">
        <v>92</v>
      </c>
      <c r="AI870">
        <v>99</v>
      </c>
      <c r="AJ870">
        <v>1</v>
      </c>
      <c r="AK870">
        <v>27</v>
      </c>
      <c r="AL870" t="s">
        <v>12338</v>
      </c>
      <c r="AM870" t="s">
        <v>12339</v>
      </c>
      <c r="AN870" t="s">
        <v>12340</v>
      </c>
      <c r="AO870" t="s">
        <v>12341</v>
      </c>
      <c r="AP870" t="s">
        <v>12356</v>
      </c>
      <c r="AQ870" t="s">
        <v>74</v>
      </c>
      <c r="AR870" t="s">
        <v>12342</v>
      </c>
      <c r="AS870" t="s">
        <v>12343</v>
      </c>
      <c r="AT870" t="s">
        <v>74</v>
      </c>
      <c r="AU870">
        <v>2005</v>
      </c>
      <c r="AV870">
        <v>302</v>
      </c>
      <c r="AW870" t="s">
        <v>74</v>
      </c>
      <c r="AX870" t="s">
        <v>74</v>
      </c>
      <c r="AY870" t="s">
        <v>74</v>
      </c>
      <c r="AZ870" t="s">
        <v>74</v>
      </c>
      <c r="BA870" t="s">
        <v>74</v>
      </c>
      <c r="BB870">
        <v>245</v>
      </c>
      <c r="BC870">
        <v>261</v>
      </c>
      <c r="BD870" t="s">
        <v>74</v>
      </c>
      <c r="BE870" t="s">
        <v>12399</v>
      </c>
      <c r="BF870" t="str">
        <f>HYPERLINK("http://dx.doi.org/10.3354/meps302245","http://dx.doi.org/10.3354/meps302245")</f>
        <v>http://dx.doi.org/10.3354/meps302245</v>
      </c>
      <c r="BG870" t="s">
        <v>74</v>
      </c>
      <c r="BH870" t="s">
        <v>74</v>
      </c>
      <c r="BI870">
        <v>17</v>
      </c>
      <c r="BJ870" t="s">
        <v>12345</v>
      </c>
      <c r="BK870" t="s">
        <v>95</v>
      </c>
      <c r="BL870" t="s">
        <v>12346</v>
      </c>
      <c r="BM870" t="s">
        <v>12400</v>
      </c>
      <c r="BN870" t="s">
        <v>74</v>
      </c>
      <c r="BO870" t="s">
        <v>539</v>
      </c>
      <c r="BP870" t="s">
        <v>74</v>
      </c>
      <c r="BQ870" t="s">
        <v>74</v>
      </c>
      <c r="BR870" t="s">
        <v>97</v>
      </c>
      <c r="BS870" t="s">
        <v>12401</v>
      </c>
      <c r="BT870" t="str">
        <f>HYPERLINK("https%3A%2F%2Fwww.webofscience.com%2Fwos%2Fwoscc%2Ffull-record%2FWOS:000233750000020","View Full Record in Web of Science")</f>
        <v>View Full Record in Web of Science</v>
      </c>
    </row>
    <row r="871" spans="1:72" x14ac:dyDescent="0.15">
      <c r="A871" t="s">
        <v>72</v>
      </c>
      <c r="B871" t="s">
        <v>12402</v>
      </c>
      <c r="C871" t="s">
        <v>74</v>
      </c>
      <c r="D871" t="s">
        <v>74</v>
      </c>
      <c r="E871" t="s">
        <v>74</v>
      </c>
      <c r="F871" t="s">
        <v>12402</v>
      </c>
      <c r="G871" t="s">
        <v>74</v>
      </c>
      <c r="H871" t="s">
        <v>74</v>
      </c>
      <c r="I871" t="s">
        <v>12403</v>
      </c>
      <c r="J871" t="s">
        <v>12328</v>
      </c>
      <c r="K871" t="s">
        <v>74</v>
      </c>
      <c r="L871" t="s">
        <v>74</v>
      </c>
      <c r="M871" t="s">
        <v>77</v>
      </c>
      <c r="N871" t="s">
        <v>78</v>
      </c>
      <c r="O871" t="s">
        <v>74</v>
      </c>
      <c r="P871" t="s">
        <v>74</v>
      </c>
      <c r="Q871" t="s">
        <v>74</v>
      </c>
      <c r="R871" t="s">
        <v>74</v>
      </c>
      <c r="S871" t="s">
        <v>74</v>
      </c>
      <c r="T871" t="s">
        <v>12404</v>
      </c>
      <c r="U871" t="s">
        <v>12405</v>
      </c>
      <c r="V871" t="s">
        <v>12406</v>
      </c>
      <c r="W871" t="s">
        <v>12407</v>
      </c>
      <c r="X871" t="s">
        <v>12408</v>
      </c>
      <c r="Y871" t="s">
        <v>12409</v>
      </c>
      <c r="Z871" t="s">
        <v>12410</v>
      </c>
      <c r="AA871" t="s">
        <v>12411</v>
      </c>
      <c r="AB871" t="s">
        <v>12412</v>
      </c>
      <c r="AC871" t="s">
        <v>74</v>
      </c>
      <c r="AD871" t="s">
        <v>74</v>
      </c>
      <c r="AE871" t="s">
        <v>74</v>
      </c>
      <c r="AF871" t="s">
        <v>74</v>
      </c>
      <c r="AG871">
        <v>17</v>
      </c>
      <c r="AH871">
        <v>66</v>
      </c>
      <c r="AI871">
        <v>75</v>
      </c>
      <c r="AJ871">
        <v>0</v>
      </c>
      <c r="AK871">
        <v>14</v>
      </c>
      <c r="AL871" t="s">
        <v>12338</v>
      </c>
      <c r="AM871" t="s">
        <v>12339</v>
      </c>
      <c r="AN871" t="s">
        <v>12340</v>
      </c>
      <c r="AO871" t="s">
        <v>12341</v>
      </c>
      <c r="AP871" t="s">
        <v>74</v>
      </c>
      <c r="AQ871" t="s">
        <v>74</v>
      </c>
      <c r="AR871" t="s">
        <v>12342</v>
      </c>
      <c r="AS871" t="s">
        <v>12343</v>
      </c>
      <c r="AT871" t="s">
        <v>74</v>
      </c>
      <c r="AU871">
        <v>2005</v>
      </c>
      <c r="AV871">
        <v>301</v>
      </c>
      <c r="AW871" t="s">
        <v>74</v>
      </c>
      <c r="AX871" t="s">
        <v>74</v>
      </c>
      <c r="AY871" t="s">
        <v>74</v>
      </c>
      <c r="AZ871" t="s">
        <v>74</v>
      </c>
      <c r="BA871" t="s">
        <v>74</v>
      </c>
      <c r="BB871">
        <v>293</v>
      </c>
      <c r="BC871">
        <v>301</v>
      </c>
      <c r="BD871" t="s">
        <v>74</v>
      </c>
      <c r="BE871" t="s">
        <v>12413</v>
      </c>
      <c r="BF871" t="str">
        <f>HYPERLINK("http://dx.doi.org/10.3354/meps301293","http://dx.doi.org/10.3354/meps301293")</f>
        <v>http://dx.doi.org/10.3354/meps301293</v>
      </c>
      <c r="BG871" t="s">
        <v>74</v>
      </c>
      <c r="BH871" t="s">
        <v>74</v>
      </c>
      <c r="BI871">
        <v>9</v>
      </c>
      <c r="BJ871" t="s">
        <v>12345</v>
      </c>
      <c r="BK871" t="s">
        <v>95</v>
      </c>
      <c r="BL871" t="s">
        <v>12346</v>
      </c>
      <c r="BM871" t="s">
        <v>12414</v>
      </c>
      <c r="BN871" t="s">
        <v>74</v>
      </c>
      <c r="BO871" t="s">
        <v>12415</v>
      </c>
      <c r="BP871" t="s">
        <v>74</v>
      </c>
      <c r="BQ871" t="s">
        <v>74</v>
      </c>
      <c r="BR871" t="s">
        <v>97</v>
      </c>
      <c r="BS871" t="s">
        <v>12416</v>
      </c>
      <c r="BT871" t="str">
        <f>HYPERLINK("https%3A%2F%2Fwww.webofscience.com%2Fwos%2Fwoscc%2Ffull-record%2FWOS:000233569700024","View Full Record in Web of Science")</f>
        <v>View Full Record in Web of Science</v>
      </c>
    </row>
    <row r="872" spans="1:72" x14ac:dyDescent="0.15">
      <c r="A872" t="s">
        <v>72</v>
      </c>
      <c r="B872" t="s">
        <v>12417</v>
      </c>
      <c r="C872" t="s">
        <v>74</v>
      </c>
      <c r="D872" t="s">
        <v>74</v>
      </c>
      <c r="E872" t="s">
        <v>74</v>
      </c>
      <c r="F872" t="s">
        <v>12417</v>
      </c>
      <c r="G872" t="s">
        <v>74</v>
      </c>
      <c r="H872" t="s">
        <v>74</v>
      </c>
      <c r="I872" t="s">
        <v>12418</v>
      </c>
      <c r="J872" t="s">
        <v>12328</v>
      </c>
      <c r="K872" t="s">
        <v>74</v>
      </c>
      <c r="L872" t="s">
        <v>74</v>
      </c>
      <c r="M872" t="s">
        <v>77</v>
      </c>
      <c r="N872" t="s">
        <v>78</v>
      </c>
      <c r="O872" t="s">
        <v>74</v>
      </c>
      <c r="P872" t="s">
        <v>74</v>
      </c>
      <c r="Q872" t="s">
        <v>74</v>
      </c>
      <c r="R872" t="s">
        <v>74</v>
      </c>
      <c r="S872" t="s">
        <v>74</v>
      </c>
      <c r="T872" t="s">
        <v>12419</v>
      </c>
      <c r="U872" t="s">
        <v>12420</v>
      </c>
      <c r="V872" t="s">
        <v>12421</v>
      </c>
      <c r="W872" t="s">
        <v>12422</v>
      </c>
      <c r="X872" t="s">
        <v>12423</v>
      </c>
      <c r="Y872" t="s">
        <v>12424</v>
      </c>
      <c r="Z872" t="s">
        <v>12425</v>
      </c>
      <c r="AA872" t="s">
        <v>12426</v>
      </c>
      <c r="AB872" t="s">
        <v>12427</v>
      </c>
      <c r="AC872" t="s">
        <v>74</v>
      </c>
      <c r="AD872" t="s">
        <v>74</v>
      </c>
      <c r="AE872" t="s">
        <v>74</v>
      </c>
      <c r="AF872" t="s">
        <v>74</v>
      </c>
      <c r="AG872">
        <v>97</v>
      </c>
      <c r="AH872">
        <v>150</v>
      </c>
      <c r="AI872">
        <v>167</v>
      </c>
      <c r="AJ872">
        <v>0</v>
      </c>
      <c r="AK872">
        <v>33</v>
      </c>
      <c r="AL872" t="s">
        <v>12338</v>
      </c>
      <c r="AM872" t="s">
        <v>12339</v>
      </c>
      <c r="AN872" t="s">
        <v>12340</v>
      </c>
      <c r="AO872" t="s">
        <v>12341</v>
      </c>
      <c r="AP872" t="s">
        <v>12356</v>
      </c>
      <c r="AQ872" t="s">
        <v>74</v>
      </c>
      <c r="AR872" t="s">
        <v>12342</v>
      </c>
      <c r="AS872" t="s">
        <v>12343</v>
      </c>
      <c r="AT872" t="s">
        <v>74</v>
      </c>
      <c r="AU872">
        <v>2005</v>
      </c>
      <c r="AV872">
        <v>300</v>
      </c>
      <c r="AW872" t="s">
        <v>74</v>
      </c>
      <c r="AX872" t="s">
        <v>74</v>
      </c>
      <c r="AY872" t="s">
        <v>74</v>
      </c>
      <c r="AZ872" t="s">
        <v>74</v>
      </c>
      <c r="BA872" t="s">
        <v>74</v>
      </c>
      <c r="BB872">
        <v>3</v>
      </c>
      <c r="BC872">
        <v>19</v>
      </c>
      <c r="BD872" t="s">
        <v>74</v>
      </c>
      <c r="BE872" t="s">
        <v>12428</v>
      </c>
      <c r="BF872" t="str">
        <f>HYPERLINK("http://dx.doi.org/10.3354/meps300003","http://dx.doi.org/10.3354/meps300003")</f>
        <v>http://dx.doi.org/10.3354/meps300003</v>
      </c>
      <c r="BG872" t="s">
        <v>74</v>
      </c>
      <c r="BH872" t="s">
        <v>74</v>
      </c>
      <c r="BI872">
        <v>17</v>
      </c>
      <c r="BJ872" t="s">
        <v>12345</v>
      </c>
      <c r="BK872" t="s">
        <v>95</v>
      </c>
      <c r="BL872" t="s">
        <v>12346</v>
      </c>
      <c r="BM872" t="s">
        <v>12429</v>
      </c>
      <c r="BN872" t="s">
        <v>74</v>
      </c>
      <c r="BO872" t="s">
        <v>539</v>
      </c>
      <c r="BP872" t="s">
        <v>74</v>
      </c>
      <c r="BQ872" t="s">
        <v>74</v>
      </c>
      <c r="BR872" t="s">
        <v>97</v>
      </c>
      <c r="BS872" t="s">
        <v>12430</v>
      </c>
      <c r="BT872" t="str">
        <f>HYPERLINK("https%3A%2F%2Fwww.webofscience.com%2Fwos%2Fwoscc%2Ffull-record%2FWOS:000232714900003","View Full Record in Web of Science")</f>
        <v>View Full Record in Web of Science</v>
      </c>
    </row>
    <row r="873" spans="1:72" x14ac:dyDescent="0.15">
      <c r="A873" t="s">
        <v>72</v>
      </c>
      <c r="B873" t="s">
        <v>12431</v>
      </c>
      <c r="C873" t="s">
        <v>74</v>
      </c>
      <c r="D873" t="s">
        <v>74</v>
      </c>
      <c r="E873" t="s">
        <v>74</v>
      </c>
      <c r="F873" t="s">
        <v>12431</v>
      </c>
      <c r="G873" t="s">
        <v>74</v>
      </c>
      <c r="H873" t="s">
        <v>74</v>
      </c>
      <c r="I873" t="s">
        <v>12432</v>
      </c>
      <c r="J873" t="s">
        <v>12328</v>
      </c>
      <c r="K873" t="s">
        <v>74</v>
      </c>
      <c r="L873" t="s">
        <v>74</v>
      </c>
      <c r="M873" t="s">
        <v>77</v>
      </c>
      <c r="N873" t="s">
        <v>78</v>
      </c>
      <c r="O873" t="s">
        <v>74</v>
      </c>
      <c r="P873" t="s">
        <v>74</v>
      </c>
      <c r="Q873" t="s">
        <v>74</v>
      </c>
      <c r="R873" t="s">
        <v>74</v>
      </c>
      <c r="S873" t="s">
        <v>74</v>
      </c>
      <c r="T873" t="s">
        <v>12433</v>
      </c>
      <c r="U873" t="s">
        <v>12434</v>
      </c>
      <c r="V873" t="s">
        <v>12435</v>
      </c>
      <c r="W873" t="s">
        <v>12436</v>
      </c>
      <c r="X873" t="s">
        <v>12437</v>
      </c>
      <c r="Y873" t="s">
        <v>12438</v>
      </c>
      <c r="Z873" t="s">
        <v>12439</v>
      </c>
      <c r="AA873" t="s">
        <v>74</v>
      </c>
      <c r="AB873" t="s">
        <v>74</v>
      </c>
      <c r="AC873" t="s">
        <v>74</v>
      </c>
      <c r="AD873" t="s">
        <v>74</v>
      </c>
      <c r="AE873" t="s">
        <v>74</v>
      </c>
      <c r="AF873" t="s">
        <v>74</v>
      </c>
      <c r="AG873">
        <v>68</v>
      </c>
      <c r="AH873">
        <v>63</v>
      </c>
      <c r="AI873">
        <v>70</v>
      </c>
      <c r="AJ873">
        <v>1</v>
      </c>
      <c r="AK873">
        <v>15</v>
      </c>
      <c r="AL873" t="s">
        <v>12338</v>
      </c>
      <c r="AM873" t="s">
        <v>12339</v>
      </c>
      <c r="AN873" t="s">
        <v>12340</v>
      </c>
      <c r="AO873" t="s">
        <v>12341</v>
      </c>
      <c r="AP873" t="s">
        <v>12356</v>
      </c>
      <c r="AQ873" t="s">
        <v>74</v>
      </c>
      <c r="AR873" t="s">
        <v>12342</v>
      </c>
      <c r="AS873" t="s">
        <v>12343</v>
      </c>
      <c r="AT873" t="s">
        <v>74</v>
      </c>
      <c r="AU873">
        <v>2005</v>
      </c>
      <c r="AV873">
        <v>300</v>
      </c>
      <c r="AW873" t="s">
        <v>74</v>
      </c>
      <c r="AX873" t="s">
        <v>74</v>
      </c>
      <c r="AY873" t="s">
        <v>74</v>
      </c>
      <c r="AZ873" t="s">
        <v>74</v>
      </c>
      <c r="BA873" t="s">
        <v>74</v>
      </c>
      <c r="BB873">
        <v>39</v>
      </c>
      <c r="BC873">
        <v>52</v>
      </c>
      <c r="BD873" t="s">
        <v>74</v>
      </c>
      <c r="BE873" t="s">
        <v>12440</v>
      </c>
      <c r="BF873" t="str">
        <f>HYPERLINK("http://dx.doi.org/10.3354/meps300039","http://dx.doi.org/10.3354/meps300039")</f>
        <v>http://dx.doi.org/10.3354/meps300039</v>
      </c>
      <c r="BG873" t="s">
        <v>74</v>
      </c>
      <c r="BH873" t="s">
        <v>74</v>
      </c>
      <c r="BI873">
        <v>14</v>
      </c>
      <c r="BJ873" t="s">
        <v>12345</v>
      </c>
      <c r="BK873" t="s">
        <v>95</v>
      </c>
      <c r="BL873" t="s">
        <v>12346</v>
      </c>
      <c r="BM873" t="s">
        <v>12429</v>
      </c>
      <c r="BN873" t="s">
        <v>74</v>
      </c>
      <c r="BO873" t="s">
        <v>539</v>
      </c>
      <c r="BP873" t="s">
        <v>74</v>
      </c>
      <c r="BQ873" t="s">
        <v>74</v>
      </c>
      <c r="BR873" t="s">
        <v>97</v>
      </c>
      <c r="BS873" t="s">
        <v>12441</v>
      </c>
      <c r="BT873" t="str">
        <f>HYPERLINK("https%3A%2F%2Fwww.webofscience.com%2Fwos%2Fwoscc%2Ffull-record%2FWOS:000232714900005","View Full Record in Web of Science")</f>
        <v>View Full Record in Web of Science</v>
      </c>
    </row>
    <row r="874" spans="1:72" x14ac:dyDescent="0.15">
      <c r="A874" t="s">
        <v>72</v>
      </c>
      <c r="B874" t="s">
        <v>12442</v>
      </c>
      <c r="C874" t="s">
        <v>74</v>
      </c>
      <c r="D874" t="s">
        <v>74</v>
      </c>
      <c r="E874" t="s">
        <v>74</v>
      </c>
      <c r="F874" t="s">
        <v>12442</v>
      </c>
      <c r="G874" t="s">
        <v>74</v>
      </c>
      <c r="H874" t="s">
        <v>74</v>
      </c>
      <c r="I874" t="s">
        <v>12443</v>
      </c>
      <c r="J874" t="s">
        <v>12328</v>
      </c>
      <c r="K874" t="s">
        <v>74</v>
      </c>
      <c r="L874" t="s">
        <v>74</v>
      </c>
      <c r="M874" t="s">
        <v>77</v>
      </c>
      <c r="N874" t="s">
        <v>78</v>
      </c>
      <c r="O874" t="s">
        <v>74</v>
      </c>
      <c r="P874" t="s">
        <v>74</v>
      </c>
      <c r="Q874" t="s">
        <v>74</v>
      </c>
      <c r="R874" t="s">
        <v>74</v>
      </c>
      <c r="S874" t="s">
        <v>74</v>
      </c>
      <c r="T874" t="s">
        <v>12444</v>
      </c>
      <c r="U874" t="s">
        <v>12445</v>
      </c>
      <c r="V874" t="s">
        <v>12446</v>
      </c>
      <c r="W874" t="s">
        <v>12447</v>
      </c>
      <c r="X874" t="s">
        <v>12448</v>
      </c>
      <c r="Y874" t="s">
        <v>12449</v>
      </c>
      <c r="Z874" t="s">
        <v>12450</v>
      </c>
      <c r="AA874" t="s">
        <v>12451</v>
      </c>
      <c r="AB874" t="s">
        <v>12452</v>
      </c>
      <c r="AC874" t="s">
        <v>74</v>
      </c>
      <c r="AD874" t="s">
        <v>74</v>
      </c>
      <c r="AE874" t="s">
        <v>74</v>
      </c>
      <c r="AF874" t="s">
        <v>74</v>
      </c>
      <c r="AG874">
        <v>74</v>
      </c>
      <c r="AH874">
        <v>82</v>
      </c>
      <c r="AI874">
        <v>86</v>
      </c>
      <c r="AJ874">
        <v>0</v>
      </c>
      <c r="AK874">
        <v>22</v>
      </c>
      <c r="AL874" t="s">
        <v>12338</v>
      </c>
      <c r="AM874" t="s">
        <v>12339</v>
      </c>
      <c r="AN874" t="s">
        <v>12340</v>
      </c>
      <c r="AO874" t="s">
        <v>12341</v>
      </c>
      <c r="AP874" t="s">
        <v>12356</v>
      </c>
      <c r="AQ874" t="s">
        <v>74</v>
      </c>
      <c r="AR874" t="s">
        <v>12342</v>
      </c>
      <c r="AS874" t="s">
        <v>12343</v>
      </c>
      <c r="AT874" t="s">
        <v>74</v>
      </c>
      <c r="AU874">
        <v>2005</v>
      </c>
      <c r="AV874">
        <v>300</v>
      </c>
      <c r="AW874" t="s">
        <v>74</v>
      </c>
      <c r="AX874" t="s">
        <v>74</v>
      </c>
      <c r="AY874" t="s">
        <v>74</v>
      </c>
      <c r="AZ874" t="s">
        <v>74</v>
      </c>
      <c r="BA874" t="s">
        <v>74</v>
      </c>
      <c r="BB874">
        <v>135</v>
      </c>
      <c r="BC874">
        <v>145</v>
      </c>
      <c r="BD874" t="s">
        <v>74</v>
      </c>
      <c r="BE874" t="s">
        <v>12453</v>
      </c>
      <c r="BF874" t="str">
        <f>HYPERLINK("http://dx.doi.org/10.3354/meps300135","http://dx.doi.org/10.3354/meps300135")</f>
        <v>http://dx.doi.org/10.3354/meps300135</v>
      </c>
      <c r="BG874" t="s">
        <v>74</v>
      </c>
      <c r="BH874" t="s">
        <v>74</v>
      </c>
      <c r="BI874">
        <v>11</v>
      </c>
      <c r="BJ874" t="s">
        <v>12345</v>
      </c>
      <c r="BK874" t="s">
        <v>95</v>
      </c>
      <c r="BL874" t="s">
        <v>12346</v>
      </c>
      <c r="BM874" t="s">
        <v>12429</v>
      </c>
      <c r="BN874" t="s">
        <v>74</v>
      </c>
      <c r="BO874" t="s">
        <v>12454</v>
      </c>
      <c r="BP874" t="s">
        <v>74</v>
      </c>
      <c r="BQ874" t="s">
        <v>74</v>
      </c>
      <c r="BR874" t="s">
        <v>97</v>
      </c>
      <c r="BS874" t="s">
        <v>12455</v>
      </c>
      <c r="BT874" t="str">
        <f>HYPERLINK("https%3A%2F%2Fwww.webofscience.com%2Fwos%2Fwoscc%2Ffull-record%2FWOS:000232714900013","View Full Record in Web of Science")</f>
        <v>View Full Record in Web of Science</v>
      </c>
    </row>
    <row r="875" spans="1:72" x14ac:dyDescent="0.15">
      <c r="A875" t="s">
        <v>72</v>
      </c>
      <c r="B875" t="s">
        <v>12456</v>
      </c>
      <c r="C875" t="s">
        <v>74</v>
      </c>
      <c r="D875" t="s">
        <v>74</v>
      </c>
      <c r="E875" t="s">
        <v>74</v>
      </c>
      <c r="F875" t="s">
        <v>12456</v>
      </c>
      <c r="G875" t="s">
        <v>74</v>
      </c>
      <c r="H875" t="s">
        <v>74</v>
      </c>
      <c r="I875" t="s">
        <v>12457</v>
      </c>
      <c r="J875" t="s">
        <v>12328</v>
      </c>
      <c r="K875" t="s">
        <v>74</v>
      </c>
      <c r="L875" t="s">
        <v>74</v>
      </c>
      <c r="M875" t="s">
        <v>77</v>
      </c>
      <c r="N875" t="s">
        <v>78</v>
      </c>
      <c r="O875" t="s">
        <v>74</v>
      </c>
      <c r="P875" t="s">
        <v>74</v>
      </c>
      <c r="Q875" t="s">
        <v>74</v>
      </c>
      <c r="R875" t="s">
        <v>74</v>
      </c>
      <c r="S875" t="s">
        <v>74</v>
      </c>
      <c r="T875" t="s">
        <v>12458</v>
      </c>
      <c r="U875" t="s">
        <v>12459</v>
      </c>
      <c r="V875" t="s">
        <v>12460</v>
      </c>
      <c r="W875" t="s">
        <v>12461</v>
      </c>
      <c r="X875" t="s">
        <v>12462</v>
      </c>
      <c r="Y875" t="s">
        <v>12463</v>
      </c>
      <c r="Z875" t="s">
        <v>12464</v>
      </c>
      <c r="AA875" t="s">
        <v>74</v>
      </c>
      <c r="AB875" t="s">
        <v>74</v>
      </c>
      <c r="AC875" t="s">
        <v>74</v>
      </c>
      <c r="AD875" t="s">
        <v>74</v>
      </c>
      <c r="AE875" t="s">
        <v>74</v>
      </c>
      <c r="AF875" t="s">
        <v>74</v>
      </c>
      <c r="AG875">
        <v>58</v>
      </c>
      <c r="AH875">
        <v>30</v>
      </c>
      <c r="AI875">
        <v>34</v>
      </c>
      <c r="AJ875">
        <v>0</v>
      </c>
      <c r="AK875">
        <v>7</v>
      </c>
      <c r="AL875" t="s">
        <v>12338</v>
      </c>
      <c r="AM875" t="s">
        <v>12339</v>
      </c>
      <c r="AN875" t="s">
        <v>12340</v>
      </c>
      <c r="AO875" t="s">
        <v>12341</v>
      </c>
      <c r="AP875" t="s">
        <v>12356</v>
      </c>
      <c r="AQ875" t="s">
        <v>74</v>
      </c>
      <c r="AR875" t="s">
        <v>12342</v>
      </c>
      <c r="AS875" t="s">
        <v>12343</v>
      </c>
      <c r="AT875" t="s">
        <v>74</v>
      </c>
      <c r="AU875">
        <v>2005</v>
      </c>
      <c r="AV875">
        <v>300</v>
      </c>
      <c r="AW875" t="s">
        <v>74</v>
      </c>
      <c r="AX875" t="s">
        <v>74</v>
      </c>
      <c r="AY875" t="s">
        <v>74</v>
      </c>
      <c r="AZ875" t="s">
        <v>74</v>
      </c>
      <c r="BA875" t="s">
        <v>74</v>
      </c>
      <c r="BB875">
        <v>159</v>
      </c>
      <c r="BC875">
        <v>178</v>
      </c>
      <c r="BD875" t="s">
        <v>74</v>
      </c>
      <c r="BE875" t="s">
        <v>12465</v>
      </c>
      <c r="BF875" t="str">
        <f>HYPERLINK("http://dx.doi.org/10.3354/meps300159","http://dx.doi.org/10.3354/meps300159")</f>
        <v>http://dx.doi.org/10.3354/meps300159</v>
      </c>
      <c r="BG875" t="s">
        <v>74</v>
      </c>
      <c r="BH875" t="s">
        <v>74</v>
      </c>
      <c r="BI875">
        <v>20</v>
      </c>
      <c r="BJ875" t="s">
        <v>12345</v>
      </c>
      <c r="BK875" t="s">
        <v>95</v>
      </c>
      <c r="BL875" t="s">
        <v>12346</v>
      </c>
      <c r="BM875" t="s">
        <v>12429</v>
      </c>
      <c r="BN875" t="s">
        <v>74</v>
      </c>
      <c r="BO875" t="s">
        <v>539</v>
      </c>
      <c r="BP875" t="s">
        <v>74</v>
      </c>
      <c r="BQ875" t="s">
        <v>74</v>
      </c>
      <c r="BR875" t="s">
        <v>97</v>
      </c>
      <c r="BS875" t="s">
        <v>12466</v>
      </c>
      <c r="BT875" t="str">
        <f>HYPERLINK("https%3A%2F%2Fwww.webofscience.com%2Fwos%2Fwoscc%2Ffull-record%2FWOS:000232714900015","View Full Record in Web of Science")</f>
        <v>View Full Record in Web of Science</v>
      </c>
    </row>
    <row r="876" spans="1:72" x14ac:dyDescent="0.15">
      <c r="A876" t="s">
        <v>72</v>
      </c>
      <c r="B876" t="s">
        <v>12467</v>
      </c>
      <c r="C876" t="s">
        <v>74</v>
      </c>
      <c r="D876" t="s">
        <v>74</v>
      </c>
      <c r="E876" t="s">
        <v>74</v>
      </c>
      <c r="F876" t="s">
        <v>12467</v>
      </c>
      <c r="G876" t="s">
        <v>74</v>
      </c>
      <c r="H876" t="s">
        <v>74</v>
      </c>
      <c r="I876" t="s">
        <v>12468</v>
      </c>
      <c r="J876" t="s">
        <v>12328</v>
      </c>
      <c r="K876" t="s">
        <v>74</v>
      </c>
      <c r="L876" t="s">
        <v>74</v>
      </c>
      <c r="M876" t="s">
        <v>77</v>
      </c>
      <c r="N876" t="s">
        <v>78</v>
      </c>
      <c r="O876" t="s">
        <v>74</v>
      </c>
      <c r="P876" t="s">
        <v>74</v>
      </c>
      <c r="Q876" t="s">
        <v>74</v>
      </c>
      <c r="R876" t="s">
        <v>74</v>
      </c>
      <c r="S876" t="s">
        <v>74</v>
      </c>
      <c r="T876" t="s">
        <v>12469</v>
      </c>
      <c r="U876" t="s">
        <v>12470</v>
      </c>
      <c r="V876" t="s">
        <v>12471</v>
      </c>
      <c r="W876" t="s">
        <v>12472</v>
      </c>
      <c r="X876" t="s">
        <v>12473</v>
      </c>
      <c r="Y876" t="s">
        <v>12474</v>
      </c>
      <c r="Z876" t="s">
        <v>12475</v>
      </c>
      <c r="AA876" t="s">
        <v>12476</v>
      </c>
      <c r="AB876" t="s">
        <v>12477</v>
      </c>
      <c r="AC876" t="s">
        <v>74</v>
      </c>
      <c r="AD876" t="s">
        <v>74</v>
      </c>
      <c r="AE876" t="s">
        <v>74</v>
      </c>
      <c r="AF876" t="s">
        <v>74</v>
      </c>
      <c r="AG876">
        <v>17</v>
      </c>
      <c r="AH876">
        <v>26</v>
      </c>
      <c r="AI876">
        <v>27</v>
      </c>
      <c r="AJ876">
        <v>0</v>
      </c>
      <c r="AK876">
        <v>8</v>
      </c>
      <c r="AL876" t="s">
        <v>12338</v>
      </c>
      <c r="AM876" t="s">
        <v>12339</v>
      </c>
      <c r="AN876" t="s">
        <v>12340</v>
      </c>
      <c r="AO876" t="s">
        <v>12341</v>
      </c>
      <c r="AP876" t="s">
        <v>74</v>
      </c>
      <c r="AQ876" t="s">
        <v>74</v>
      </c>
      <c r="AR876" t="s">
        <v>12342</v>
      </c>
      <c r="AS876" t="s">
        <v>12343</v>
      </c>
      <c r="AT876" t="s">
        <v>74</v>
      </c>
      <c r="AU876">
        <v>2005</v>
      </c>
      <c r="AV876">
        <v>299</v>
      </c>
      <c r="AW876" t="s">
        <v>74</v>
      </c>
      <c r="AX876" t="s">
        <v>74</v>
      </c>
      <c r="AY876" t="s">
        <v>74</v>
      </c>
      <c r="AZ876" t="s">
        <v>74</v>
      </c>
      <c r="BA876" t="s">
        <v>74</v>
      </c>
      <c r="BB876">
        <v>1</v>
      </c>
      <c r="BC876">
        <v>5</v>
      </c>
      <c r="BD876" t="s">
        <v>74</v>
      </c>
      <c r="BE876" t="s">
        <v>12478</v>
      </c>
      <c r="BF876" t="str">
        <f>HYPERLINK("http://dx.doi.org/10.3354/meps299001","http://dx.doi.org/10.3354/meps299001")</f>
        <v>http://dx.doi.org/10.3354/meps299001</v>
      </c>
      <c r="BG876" t="s">
        <v>74</v>
      </c>
      <c r="BH876" t="s">
        <v>74</v>
      </c>
      <c r="BI876">
        <v>5</v>
      </c>
      <c r="BJ876" t="s">
        <v>12345</v>
      </c>
      <c r="BK876" t="s">
        <v>95</v>
      </c>
      <c r="BL876" t="s">
        <v>12346</v>
      </c>
      <c r="BM876" t="s">
        <v>12479</v>
      </c>
      <c r="BN876" t="s">
        <v>74</v>
      </c>
      <c r="BO876" t="s">
        <v>855</v>
      </c>
      <c r="BP876" t="s">
        <v>74</v>
      </c>
      <c r="BQ876" t="s">
        <v>74</v>
      </c>
      <c r="BR876" t="s">
        <v>97</v>
      </c>
      <c r="BS876" t="s">
        <v>12480</v>
      </c>
      <c r="BT876" t="str">
        <f>HYPERLINK("https%3A%2F%2Fwww.webofscience.com%2Fwos%2Fwoscc%2Ffull-record%2FWOS:000232469700001","View Full Record in Web of Science")</f>
        <v>View Full Record in Web of Science</v>
      </c>
    </row>
    <row r="877" spans="1:72" x14ac:dyDescent="0.15">
      <c r="A877" t="s">
        <v>72</v>
      </c>
      <c r="B877" t="s">
        <v>12481</v>
      </c>
      <c r="C877" t="s">
        <v>74</v>
      </c>
      <c r="D877" t="s">
        <v>74</v>
      </c>
      <c r="E877" t="s">
        <v>74</v>
      </c>
      <c r="F877" t="s">
        <v>12481</v>
      </c>
      <c r="G877" t="s">
        <v>74</v>
      </c>
      <c r="H877" t="s">
        <v>74</v>
      </c>
      <c r="I877" t="s">
        <v>12482</v>
      </c>
      <c r="J877" t="s">
        <v>12328</v>
      </c>
      <c r="K877" t="s">
        <v>74</v>
      </c>
      <c r="L877" t="s">
        <v>74</v>
      </c>
      <c r="M877" t="s">
        <v>77</v>
      </c>
      <c r="N877" t="s">
        <v>78</v>
      </c>
      <c r="O877" t="s">
        <v>74</v>
      </c>
      <c r="P877" t="s">
        <v>74</v>
      </c>
      <c r="Q877" t="s">
        <v>74</v>
      </c>
      <c r="R877" t="s">
        <v>74</v>
      </c>
      <c r="S877" t="s">
        <v>74</v>
      </c>
      <c r="T877" t="s">
        <v>12483</v>
      </c>
      <c r="U877" t="s">
        <v>12484</v>
      </c>
      <c r="V877" t="s">
        <v>12485</v>
      </c>
      <c r="W877" t="s">
        <v>12486</v>
      </c>
      <c r="X877" t="s">
        <v>4903</v>
      </c>
      <c r="Y877" t="s">
        <v>1111</v>
      </c>
      <c r="Z877" t="s">
        <v>12487</v>
      </c>
      <c r="AA877" t="s">
        <v>12488</v>
      </c>
      <c r="AB877" t="s">
        <v>12489</v>
      </c>
      <c r="AC877" t="s">
        <v>74</v>
      </c>
      <c r="AD877" t="s">
        <v>74</v>
      </c>
      <c r="AE877" t="s">
        <v>74</v>
      </c>
      <c r="AF877" t="s">
        <v>74</v>
      </c>
      <c r="AG877">
        <v>45</v>
      </c>
      <c r="AH877">
        <v>30</v>
      </c>
      <c r="AI877">
        <v>34</v>
      </c>
      <c r="AJ877">
        <v>1</v>
      </c>
      <c r="AK877">
        <v>48</v>
      </c>
      <c r="AL877" t="s">
        <v>12338</v>
      </c>
      <c r="AM877" t="s">
        <v>12339</v>
      </c>
      <c r="AN877" t="s">
        <v>12340</v>
      </c>
      <c r="AO877" t="s">
        <v>12341</v>
      </c>
      <c r="AP877" t="s">
        <v>12356</v>
      </c>
      <c r="AQ877" t="s">
        <v>74</v>
      </c>
      <c r="AR877" t="s">
        <v>12342</v>
      </c>
      <c r="AS877" t="s">
        <v>12343</v>
      </c>
      <c r="AT877" t="s">
        <v>74</v>
      </c>
      <c r="AU877">
        <v>2005</v>
      </c>
      <c r="AV877">
        <v>299</v>
      </c>
      <c r="AW877" t="s">
        <v>74</v>
      </c>
      <c r="AX877" t="s">
        <v>74</v>
      </c>
      <c r="AY877" t="s">
        <v>74</v>
      </c>
      <c r="AZ877" t="s">
        <v>74</v>
      </c>
      <c r="BA877" t="s">
        <v>74</v>
      </c>
      <c r="BB877">
        <v>167</v>
      </c>
      <c r="BC877">
        <v>177</v>
      </c>
      <c r="BD877" t="s">
        <v>74</v>
      </c>
      <c r="BE877" t="s">
        <v>12490</v>
      </c>
      <c r="BF877" t="str">
        <f>HYPERLINK("http://dx.doi.org/10.3354/meps299167","http://dx.doi.org/10.3354/meps299167")</f>
        <v>http://dx.doi.org/10.3354/meps299167</v>
      </c>
      <c r="BG877" t="s">
        <v>74</v>
      </c>
      <c r="BH877" t="s">
        <v>74</v>
      </c>
      <c r="BI877">
        <v>11</v>
      </c>
      <c r="BJ877" t="s">
        <v>12345</v>
      </c>
      <c r="BK877" t="s">
        <v>95</v>
      </c>
      <c r="BL877" t="s">
        <v>12346</v>
      </c>
      <c r="BM877" t="s">
        <v>12479</v>
      </c>
      <c r="BN877" t="s">
        <v>74</v>
      </c>
      <c r="BO877" t="s">
        <v>855</v>
      </c>
      <c r="BP877" t="s">
        <v>74</v>
      </c>
      <c r="BQ877" t="s">
        <v>74</v>
      </c>
      <c r="BR877" t="s">
        <v>97</v>
      </c>
      <c r="BS877" t="s">
        <v>12491</v>
      </c>
      <c r="BT877" t="str">
        <f>HYPERLINK("https%3A%2F%2Fwww.webofscience.com%2Fwos%2Fwoscc%2Ffull-record%2FWOS:000232469700016","View Full Record in Web of Science")</f>
        <v>View Full Record in Web of Science</v>
      </c>
    </row>
    <row r="878" spans="1:72" x14ac:dyDescent="0.15">
      <c r="A878" t="s">
        <v>72</v>
      </c>
      <c r="B878" t="s">
        <v>12492</v>
      </c>
      <c r="C878" t="s">
        <v>74</v>
      </c>
      <c r="D878" t="s">
        <v>74</v>
      </c>
      <c r="E878" t="s">
        <v>74</v>
      </c>
      <c r="F878" t="s">
        <v>12492</v>
      </c>
      <c r="G878" t="s">
        <v>74</v>
      </c>
      <c r="H878" t="s">
        <v>74</v>
      </c>
      <c r="I878" t="s">
        <v>12493</v>
      </c>
      <c r="J878" t="s">
        <v>12328</v>
      </c>
      <c r="K878" t="s">
        <v>74</v>
      </c>
      <c r="L878" t="s">
        <v>74</v>
      </c>
      <c r="M878" t="s">
        <v>77</v>
      </c>
      <c r="N878" t="s">
        <v>78</v>
      </c>
      <c r="O878" t="s">
        <v>74</v>
      </c>
      <c r="P878" t="s">
        <v>74</v>
      </c>
      <c r="Q878" t="s">
        <v>74</v>
      </c>
      <c r="R878" t="s">
        <v>74</v>
      </c>
      <c r="S878" t="s">
        <v>74</v>
      </c>
      <c r="T878" t="s">
        <v>12494</v>
      </c>
      <c r="U878" t="s">
        <v>12495</v>
      </c>
      <c r="V878" t="s">
        <v>12496</v>
      </c>
      <c r="W878" t="s">
        <v>3600</v>
      </c>
      <c r="X878" t="s">
        <v>3601</v>
      </c>
      <c r="Y878" t="s">
        <v>12497</v>
      </c>
      <c r="Z878" t="s">
        <v>12498</v>
      </c>
      <c r="AA878" t="s">
        <v>74</v>
      </c>
      <c r="AB878" t="s">
        <v>74</v>
      </c>
      <c r="AC878" t="s">
        <v>74</v>
      </c>
      <c r="AD878" t="s">
        <v>74</v>
      </c>
      <c r="AE878" t="s">
        <v>74</v>
      </c>
      <c r="AF878" t="s">
        <v>74</v>
      </c>
      <c r="AG878">
        <v>48</v>
      </c>
      <c r="AH878">
        <v>20</v>
      </c>
      <c r="AI878">
        <v>22</v>
      </c>
      <c r="AJ878">
        <v>1</v>
      </c>
      <c r="AK878">
        <v>15</v>
      </c>
      <c r="AL878" t="s">
        <v>12338</v>
      </c>
      <c r="AM878" t="s">
        <v>12339</v>
      </c>
      <c r="AN878" t="s">
        <v>12340</v>
      </c>
      <c r="AO878" t="s">
        <v>12341</v>
      </c>
      <c r="AP878" t="s">
        <v>12356</v>
      </c>
      <c r="AQ878" t="s">
        <v>74</v>
      </c>
      <c r="AR878" t="s">
        <v>12342</v>
      </c>
      <c r="AS878" t="s">
        <v>12343</v>
      </c>
      <c r="AT878" t="s">
        <v>74</v>
      </c>
      <c r="AU878">
        <v>2005</v>
      </c>
      <c r="AV878">
        <v>299</v>
      </c>
      <c r="AW878" t="s">
        <v>74</v>
      </c>
      <c r="AX878" t="s">
        <v>74</v>
      </c>
      <c r="AY878" t="s">
        <v>74</v>
      </c>
      <c r="AZ878" t="s">
        <v>74</v>
      </c>
      <c r="BA878" t="s">
        <v>74</v>
      </c>
      <c r="BB878">
        <v>297</v>
      </c>
      <c r="BC878">
        <v>309</v>
      </c>
      <c r="BD878" t="s">
        <v>74</v>
      </c>
      <c r="BE878" t="s">
        <v>12499</v>
      </c>
      <c r="BF878" t="str">
        <f>HYPERLINK("http://dx.doi.org/10.3354/meps299297","http://dx.doi.org/10.3354/meps299297")</f>
        <v>http://dx.doi.org/10.3354/meps299297</v>
      </c>
      <c r="BG878" t="s">
        <v>74</v>
      </c>
      <c r="BH878" t="s">
        <v>74</v>
      </c>
      <c r="BI878">
        <v>13</v>
      </c>
      <c r="BJ878" t="s">
        <v>12345</v>
      </c>
      <c r="BK878" t="s">
        <v>95</v>
      </c>
      <c r="BL878" t="s">
        <v>12346</v>
      </c>
      <c r="BM878" t="s">
        <v>12479</v>
      </c>
      <c r="BN878" t="s">
        <v>74</v>
      </c>
      <c r="BO878" t="s">
        <v>539</v>
      </c>
      <c r="BP878" t="s">
        <v>74</v>
      </c>
      <c r="BQ878" t="s">
        <v>74</v>
      </c>
      <c r="BR878" t="s">
        <v>97</v>
      </c>
      <c r="BS878" t="s">
        <v>12500</v>
      </c>
      <c r="BT878" t="str">
        <f>HYPERLINK("https%3A%2F%2Fwww.webofscience.com%2Fwos%2Fwoscc%2Ffull-record%2FWOS:000232469700027","View Full Record in Web of Science")</f>
        <v>View Full Record in Web of Science</v>
      </c>
    </row>
    <row r="879" spans="1:72" x14ac:dyDescent="0.15">
      <c r="A879" t="s">
        <v>72</v>
      </c>
      <c r="B879" t="s">
        <v>12501</v>
      </c>
      <c r="C879" t="s">
        <v>74</v>
      </c>
      <c r="D879" t="s">
        <v>74</v>
      </c>
      <c r="E879" t="s">
        <v>74</v>
      </c>
      <c r="F879" t="s">
        <v>12501</v>
      </c>
      <c r="G879" t="s">
        <v>74</v>
      </c>
      <c r="H879" t="s">
        <v>74</v>
      </c>
      <c r="I879" t="s">
        <v>12502</v>
      </c>
      <c r="J879" t="s">
        <v>12328</v>
      </c>
      <c r="K879" t="s">
        <v>74</v>
      </c>
      <c r="L879" t="s">
        <v>74</v>
      </c>
      <c r="M879" t="s">
        <v>77</v>
      </c>
      <c r="N879" t="s">
        <v>78</v>
      </c>
      <c r="O879" t="s">
        <v>74</v>
      </c>
      <c r="P879" t="s">
        <v>74</v>
      </c>
      <c r="Q879" t="s">
        <v>74</v>
      </c>
      <c r="R879" t="s">
        <v>74</v>
      </c>
      <c r="S879" t="s">
        <v>74</v>
      </c>
      <c r="T879" t="s">
        <v>12503</v>
      </c>
      <c r="U879" t="s">
        <v>12504</v>
      </c>
      <c r="V879" t="s">
        <v>12505</v>
      </c>
      <c r="W879" t="s">
        <v>12506</v>
      </c>
      <c r="X879" t="s">
        <v>671</v>
      </c>
      <c r="Y879" t="s">
        <v>12507</v>
      </c>
      <c r="Z879" t="s">
        <v>12508</v>
      </c>
      <c r="AA879" t="s">
        <v>6590</v>
      </c>
      <c r="AB879" t="s">
        <v>74</v>
      </c>
      <c r="AC879" t="s">
        <v>74</v>
      </c>
      <c r="AD879" t="s">
        <v>74</v>
      </c>
      <c r="AE879" t="s">
        <v>74</v>
      </c>
      <c r="AF879" t="s">
        <v>74</v>
      </c>
      <c r="AG879">
        <v>60</v>
      </c>
      <c r="AH879">
        <v>22</v>
      </c>
      <c r="AI879">
        <v>23</v>
      </c>
      <c r="AJ879">
        <v>0</v>
      </c>
      <c r="AK879">
        <v>12</v>
      </c>
      <c r="AL879" t="s">
        <v>12338</v>
      </c>
      <c r="AM879" t="s">
        <v>12339</v>
      </c>
      <c r="AN879" t="s">
        <v>12340</v>
      </c>
      <c r="AO879" t="s">
        <v>12341</v>
      </c>
      <c r="AP879" t="s">
        <v>12356</v>
      </c>
      <c r="AQ879" t="s">
        <v>74</v>
      </c>
      <c r="AR879" t="s">
        <v>12342</v>
      </c>
      <c r="AS879" t="s">
        <v>12343</v>
      </c>
      <c r="AT879" t="s">
        <v>74</v>
      </c>
      <c r="AU879">
        <v>2005</v>
      </c>
      <c r="AV879">
        <v>298</v>
      </c>
      <c r="AW879" t="s">
        <v>74</v>
      </c>
      <c r="AX879" t="s">
        <v>74</v>
      </c>
      <c r="AY879" t="s">
        <v>74</v>
      </c>
      <c r="AZ879" t="s">
        <v>74</v>
      </c>
      <c r="BA879" t="s">
        <v>74</v>
      </c>
      <c r="BB879">
        <v>229</v>
      </c>
      <c r="BC879">
        <v>239</v>
      </c>
      <c r="BD879" t="s">
        <v>74</v>
      </c>
      <c r="BE879" t="s">
        <v>12509</v>
      </c>
      <c r="BF879" t="str">
        <f>HYPERLINK("http://dx.doi.org/10.3354/meps298229","http://dx.doi.org/10.3354/meps298229")</f>
        <v>http://dx.doi.org/10.3354/meps298229</v>
      </c>
      <c r="BG879" t="s">
        <v>74</v>
      </c>
      <c r="BH879" t="s">
        <v>74</v>
      </c>
      <c r="BI879">
        <v>11</v>
      </c>
      <c r="BJ879" t="s">
        <v>12345</v>
      </c>
      <c r="BK879" t="s">
        <v>95</v>
      </c>
      <c r="BL879" t="s">
        <v>12346</v>
      </c>
      <c r="BM879" t="s">
        <v>12510</v>
      </c>
      <c r="BN879" t="s">
        <v>74</v>
      </c>
      <c r="BO879" t="s">
        <v>539</v>
      </c>
      <c r="BP879" t="s">
        <v>74</v>
      </c>
      <c r="BQ879" t="s">
        <v>74</v>
      </c>
      <c r="BR879" t="s">
        <v>97</v>
      </c>
      <c r="BS879" t="s">
        <v>12511</v>
      </c>
      <c r="BT879" t="str">
        <f>HYPERLINK("https%3A%2F%2Fwww.webofscience.com%2Fwos%2Fwoscc%2Ffull-record%2FWOS:000231905600020","View Full Record in Web of Science")</f>
        <v>View Full Record in Web of Science</v>
      </c>
    </row>
    <row r="880" spans="1:72" x14ac:dyDescent="0.15">
      <c r="A880" t="s">
        <v>72</v>
      </c>
      <c r="B880" t="s">
        <v>12512</v>
      </c>
      <c r="C880" t="s">
        <v>74</v>
      </c>
      <c r="D880" t="s">
        <v>74</v>
      </c>
      <c r="E880" t="s">
        <v>74</v>
      </c>
      <c r="F880" t="s">
        <v>12512</v>
      </c>
      <c r="G880" t="s">
        <v>74</v>
      </c>
      <c r="H880" t="s">
        <v>74</v>
      </c>
      <c r="I880" t="s">
        <v>12513</v>
      </c>
      <c r="J880" t="s">
        <v>12328</v>
      </c>
      <c r="K880" t="s">
        <v>74</v>
      </c>
      <c r="L880" t="s">
        <v>74</v>
      </c>
      <c r="M880" t="s">
        <v>77</v>
      </c>
      <c r="N880" t="s">
        <v>78</v>
      </c>
      <c r="O880" t="s">
        <v>74</v>
      </c>
      <c r="P880" t="s">
        <v>74</v>
      </c>
      <c r="Q880" t="s">
        <v>74</v>
      </c>
      <c r="R880" t="s">
        <v>74</v>
      </c>
      <c r="S880" t="s">
        <v>74</v>
      </c>
      <c r="T880" t="s">
        <v>12514</v>
      </c>
      <c r="U880" t="s">
        <v>12515</v>
      </c>
      <c r="V880" t="s">
        <v>12516</v>
      </c>
      <c r="W880" t="s">
        <v>3618</v>
      </c>
      <c r="X880" t="s">
        <v>1967</v>
      </c>
      <c r="Y880" t="s">
        <v>12517</v>
      </c>
      <c r="Z880" t="s">
        <v>12518</v>
      </c>
      <c r="AA880" t="s">
        <v>74</v>
      </c>
      <c r="AB880" t="s">
        <v>74</v>
      </c>
      <c r="AC880" t="s">
        <v>74</v>
      </c>
      <c r="AD880" t="s">
        <v>74</v>
      </c>
      <c r="AE880" t="s">
        <v>74</v>
      </c>
      <c r="AF880" t="s">
        <v>74</v>
      </c>
      <c r="AG880">
        <v>90</v>
      </c>
      <c r="AH880">
        <v>63</v>
      </c>
      <c r="AI880">
        <v>73</v>
      </c>
      <c r="AJ880">
        <v>0</v>
      </c>
      <c r="AK880">
        <v>15</v>
      </c>
      <c r="AL880" t="s">
        <v>12338</v>
      </c>
      <c r="AM880" t="s">
        <v>12339</v>
      </c>
      <c r="AN880" t="s">
        <v>12340</v>
      </c>
      <c r="AO880" t="s">
        <v>12341</v>
      </c>
      <c r="AP880" t="s">
        <v>74</v>
      </c>
      <c r="AQ880" t="s">
        <v>74</v>
      </c>
      <c r="AR880" t="s">
        <v>12342</v>
      </c>
      <c r="AS880" t="s">
        <v>12343</v>
      </c>
      <c r="AT880" t="s">
        <v>74</v>
      </c>
      <c r="AU880">
        <v>2005</v>
      </c>
      <c r="AV880">
        <v>297</v>
      </c>
      <c r="AW880" t="s">
        <v>74</v>
      </c>
      <c r="AX880" t="s">
        <v>74</v>
      </c>
      <c r="AY880" t="s">
        <v>74</v>
      </c>
      <c r="AZ880" t="s">
        <v>74</v>
      </c>
      <c r="BA880" t="s">
        <v>74</v>
      </c>
      <c r="BB880">
        <v>71</v>
      </c>
      <c r="BC880">
        <v>81</v>
      </c>
      <c r="BD880" t="s">
        <v>74</v>
      </c>
      <c r="BE880" t="s">
        <v>12519</v>
      </c>
      <c r="BF880" t="str">
        <f>HYPERLINK("http://dx.doi.org/10.3354/meps297071","http://dx.doi.org/10.3354/meps297071")</f>
        <v>http://dx.doi.org/10.3354/meps297071</v>
      </c>
      <c r="BG880" t="s">
        <v>74</v>
      </c>
      <c r="BH880" t="s">
        <v>74</v>
      </c>
      <c r="BI880">
        <v>11</v>
      </c>
      <c r="BJ880" t="s">
        <v>12345</v>
      </c>
      <c r="BK880" t="s">
        <v>95</v>
      </c>
      <c r="BL880" t="s">
        <v>12346</v>
      </c>
      <c r="BM880" t="s">
        <v>12520</v>
      </c>
      <c r="BN880" t="s">
        <v>74</v>
      </c>
      <c r="BO880" t="s">
        <v>539</v>
      </c>
      <c r="BP880" t="s">
        <v>74</v>
      </c>
      <c r="BQ880" t="s">
        <v>74</v>
      </c>
      <c r="BR880" t="s">
        <v>97</v>
      </c>
      <c r="BS880" t="s">
        <v>12521</v>
      </c>
      <c r="BT880" t="str">
        <f>HYPERLINK("https%3A%2F%2Fwww.webofscience.com%2Fwos%2Fwoscc%2Ffull-record%2FWOS:000231718800007","View Full Record in Web of Science")</f>
        <v>View Full Record in Web of Science</v>
      </c>
    </row>
    <row r="881" spans="1:72" x14ac:dyDescent="0.15">
      <c r="A881" t="s">
        <v>72</v>
      </c>
      <c r="B881" t="s">
        <v>4944</v>
      </c>
      <c r="C881" t="s">
        <v>74</v>
      </c>
      <c r="D881" t="s">
        <v>74</v>
      </c>
      <c r="E881" t="s">
        <v>74</v>
      </c>
      <c r="F881" t="s">
        <v>4944</v>
      </c>
      <c r="G881" t="s">
        <v>74</v>
      </c>
      <c r="H881" t="s">
        <v>74</v>
      </c>
      <c r="I881" t="s">
        <v>12522</v>
      </c>
      <c r="J881" t="s">
        <v>12328</v>
      </c>
      <c r="K881" t="s">
        <v>74</v>
      </c>
      <c r="L881" t="s">
        <v>74</v>
      </c>
      <c r="M881" t="s">
        <v>77</v>
      </c>
      <c r="N881" t="s">
        <v>78</v>
      </c>
      <c r="O881" t="s">
        <v>74</v>
      </c>
      <c r="P881" t="s">
        <v>74</v>
      </c>
      <c r="Q881" t="s">
        <v>74</v>
      </c>
      <c r="R881" t="s">
        <v>74</v>
      </c>
      <c r="S881" t="s">
        <v>74</v>
      </c>
      <c r="T881" t="s">
        <v>12523</v>
      </c>
      <c r="U881" t="s">
        <v>12524</v>
      </c>
      <c r="V881" t="s">
        <v>12525</v>
      </c>
      <c r="W881" t="s">
        <v>670</v>
      </c>
      <c r="X881" t="s">
        <v>671</v>
      </c>
      <c r="Y881" t="s">
        <v>2616</v>
      </c>
      <c r="Z881" t="s">
        <v>4948</v>
      </c>
      <c r="AA881" t="s">
        <v>74</v>
      </c>
      <c r="AB881" t="s">
        <v>74</v>
      </c>
      <c r="AC881" t="s">
        <v>74</v>
      </c>
      <c r="AD881" t="s">
        <v>74</v>
      </c>
      <c r="AE881" t="s">
        <v>74</v>
      </c>
      <c r="AF881" t="s">
        <v>74</v>
      </c>
      <c r="AG881">
        <v>80</v>
      </c>
      <c r="AH881">
        <v>47</v>
      </c>
      <c r="AI881">
        <v>52</v>
      </c>
      <c r="AJ881">
        <v>1</v>
      </c>
      <c r="AK881">
        <v>12</v>
      </c>
      <c r="AL881" t="s">
        <v>12338</v>
      </c>
      <c r="AM881" t="s">
        <v>12339</v>
      </c>
      <c r="AN881" t="s">
        <v>12340</v>
      </c>
      <c r="AO881" t="s">
        <v>12341</v>
      </c>
      <c r="AP881" t="s">
        <v>12356</v>
      </c>
      <c r="AQ881" t="s">
        <v>74</v>
      </c>
      <c r="AR881" t="s">
        <v>12342</v>
      </c>
      <c r="AS881" t="s">
        <v>12343</v>
      </c>
      <c r="AT881" t="s">
        <v>74</v>
      </c>
      <c r="AU881">
        <v>2005</v>
      </c>
      <c r="AV881">
        <v>297</v>
      </c>
      <c r="AW881" t="s">
        <v>74</v>
      </c>
      <c r="AX881" t="s">
        <v>74</v>
      </c>
      <c r="AY881" t="s">
        <v>74</v>
      </c>
      <c r="AZ881" t="s">
        <v>74</v>
      </c>
      <c r="BA881" t="s">
        <v>74</v>
      </c>
      <c r="BB881">
        <v>101</v>
      </c>
      <c r="BC881">
        <v>118</v>
      </c>
      <c r="BD881" t="s">
        <v>74</v>
      </c>
      <c r="BE881" t="s">
        <v>12526</v>
      </c>
      <c r="BF881" t="str">
        <f>HYPERLINK("http://dx.doi.org/10.3354/meps297101","http://dx.doi.org/10.3354/meps297101")</f>
        <v>http://dx.doi.org/10.3354/meps297101</v>
      </c>
      <c r="BG881" t="s">
        <v>74</v>
      </c>
      <c r="BH881" t="s">
        <v>74</v>
      </c>
      <c r="BI881">
        <v>18</v>
      </c>
      <c r="BJ881" t="s">
        <v>12345</v>
      </c>
      <c r="BK881" t="s">
        <v>95</v>
      </c>
      <c r="BL881" t="s">
        <v>12346</v>
      </c>
      <c r="BM881" t="s">
        <v>12520</v>
      </c>
      <c r="BN881" t="s">
        <v>74</v>
      </c>
      <c r="BO881" t="s">
        <v>539</v>
      </c>
      <c r="BP881" t="s">
        <v>74</v>
      </c>
      <c r="BQ881" t="s">
        <v>74</v>
      </c>
      <c r="BR881" t="s">
        <v>97</v>
      </c>
      <c r="BS881" t="s">
        <v>12527</v>
      </c>
      <c r="BT881" t="str">
        <f>HYPERLINK("https%3A%2F%2Fwww.webofscience.com%2Fwos%2Fwoscc%2Ffull-record%2FWOS:000231718800009","View Full Record in Web of Science")</f>
        <v>View Full Record in Web of Science</v>
      </c>
    </row>
    <row r="882" spans="1:72" x14ac:dyDescent="0.15">
      <c r="A882" t="s">
        <v>72</v>
      </c>
      <c r="B882" t="s">
        <v>12528</v>
      </c>
      <c r="C882" t="s">
        <v>74</v>
      </c>
      <c r="D882" t="s">
        <v>74</v>
      </c>
      <c r="E882" t="s">
        <v>74</v>
      </c>
      <c r="F882" t="s">
        <v>12528</v>
      </c>
      <c r="G882" t="s">
        <v>74</v>
      </c>
      <c r="H882" t="s">
        <v>74</v>
      </c>
      <c r="I882" t="s">
        <v>12529</v>
      </c>
      <c r="J882" t="s">
        <v>12328</v>
      </c>
      <c r="K882" t="s">
        <v>74</v>
      </c>
      <c r="L882" t="s">
        <v>74</v>
      </c>
      <c r="M882" t="s">
        <v>77</v>
      </c>
      <c r="N882" t="s">
        <v>78</v>
      </c>
      <c r="O882" t="s">
        <v>74</v>
      </c>
      <c r="P882" t="s">
        <v>74</v>
      </c>
      <c r="Q882" t="s">
        <v>74</v>
      </c>
      <c r="R882" t="s">
        <v>74</v>
      </c>
      <c r="S882" t="s">
        <v>74</v>
      </c>
      <c r="T882" t="s">
        <v>12530</v>
      </c>
      <c r="U882" t="s">
        <v>12531</v>
      </c>
      <c r="V882" t="s">
        <v>12532</v>
      </c>
      <c r="W882" t="s">
        <v>12533</v>
      </c>
      <c r="X882" t="s">
        <v>12534</v>
      </c>
      <c r="Y882" t="s">
        <v>12535</v>
      </c>
      <c r="Z882" t="s">
        <v>12536</v>
      </c>
      <c r="AA882" t="s">
        <v>12537</v>
      </c>
      <c r="AB882" t="s">
        <v>12538</v>
      </c>
      <c r="AC882" t="s">
        <v>74</v>
      </c>
      <c r="AD882" t="s">
        <v>74</v>
      </c>
      <c r="AE882" t="s">
        <v>74</v>
      </c>
      <c r="AF882" t="s">
        <v>74</v>
      </c>
      <c r="AG882">
        <v>62</v>
      </c>
      <c r="AH882">
        <v>27</v>
      </c>
      <c r="AI882">
        <v>31</v>
      </c>
      <c r="AJ882">
        <v>1</v>
      </c>
      <c r="AK882">
        <v>14</v>
      </c>
      <c r="AL882" t="s">
        <v>12338</v>
      </c>
      <c r="AM882" t="s">
        <v>12339</v>
      </c>
      <c r="AN882" t="s">
        <v>12340</v>
      </c>
      <c r="AO882" t="s">
        <v>12341</v>
      </c>
      <c r="AP882" t="s">
        <v>74</v>
      </c>
      <c r="AQ882" t="s">
        <v>74</v>
      </c>
      <c r="AR882" t="s">
        <v>12342</v>
      </c>
      <c r="AS882" t="s">
        <v>12343</v>
      </c>
      <c r="AT882" t="s">
        <v>74</v>
      </c>
      <c r="AU882">
        <v>2005</v>
      </c>
      <c r="AV882">
        <v>296</v>
      </c>
      <c r="AW882" t="s">
        <v>74</v>
      </c>
      <c r="AX882" t="s">
        <v>74</v>
      </c>
      <c r="AY882" t="s">
        <v>74</v>
      </c>
      <c r="AZ882" t="s">
        <v>74</v>
      </c>
      <c r="BA882" t="s">
        <v>74</v>
      </c>
      <c r="BB882">
        <v>65</v>
      </c>
      <c r="BC882">
        <v>79</v>
      </c>
      <c r="BD882" t="s">
        <v>74</v>
      </c>
      <c r="BE882" t="s">
        <v>12539</v>
      </c>
      <c r="BF882" t="str">
        <f>HYPERLINK("http://dx.doi.org/10.3354/meps296065","http://dx.doi.org/10.3354/meps296065")</f>
        <v>http://dx.doi.org/10.3354/meps296065</v>
      </c>
      <c r="BG882" t="s">
        <v>74</v>
      </c>
      <c r="BH882" t="s">
        <v>74</v>
      </c>
      <c r="BI882">
        <v>15</v>
      </c>
      <c r="BJ882" t="s">
        <v>12345</v>
      </c>
      <c r="BK882" t="s">
        <v>95</v>
      </c>
      <c r="BL882" t="s">
        <v>12346</v>
      </c>
      <c r="BM882" t="s">
        <v>12540</v>
      </c>
      <c r="BN882" t="s">
        <v>74</v>
      </c>
      <c r="BO882" t="s">
        <v>539</v>
      </c>
      <c r="BP882" t="s">
        <v>74</v>
      </c>
      <c r="BQ882" t="s">
        <v>74</v>
      </c>
      <c r="BR882" t="s">
        <v>97</v>
      </c>
      <c r="BS882" t="s">
        <v>12541</v>
      </c>
      <c r="BT882" t="str">
        <f>HYPERLINK("https%3A%2F%2Fwww.webofscience.com%2Fwos%2Fwoscc%2Ffull-record%2FWOS:000231365700006","View Full Record in Web of Science")</f>
        <v>View Full Record in Web of Science</v>
      </c>
    </row>
    <row r="883" spans="1:72" x14ac:dyDescent="0.15">
      <c r="A883" t="s">
        <v>72</v>
      </c>
      <c r="B883" t="s">
        <v>12528</v>
      </c>
      <c r="C883" t="s">
        <v>74</v>
      </c>
      <c r="D883" t="s">
        <v>74</v>
      </c>
      <c r="E883" t="s">
        <v>74</v>
      </c>
      <c r="F883" t="s">
        <v>12528</v>
      </c>
      <c r="G883" t="s">
        <v>74</v>
      </c>
      <c r="H883" t="s">
        <v>74</v>
      </c>
      <c r="I883" t="s">
        <v>12542</v>
      </c>
      <c r="J883" t="s">
        <v>12328</v>
      </c>
      <c r="K883" t="s">
        <v>74</v>
      </c>
      <c r="L883" t="s">
        <v>74</v>
      </c>
      <c r="M883" t="s">
        <v>77</v>
      </c>
      <c r="N883" t="s">
        <v>78</v>
      </c>
      <c r="O883" t="s">
        <v>74</v>
      </c>
      <c r="P883" t="s">
        <v>74</v>
      </c>
      <c r="Q883" t="s">
        <v>74</v>
      </c>
      <c r="R883" t="s">
        <v>74</v>
      </c>
      <c r="S883" t="s">
        <v>74</v>
      </c>
      <c r="T883" t="s">
        <v>12543</v>
      </c>
      <c r="U883" t="s">
        <v>12544</v>
      </c>
      <c r="V883" t="s">
        <v>12545</v>
      </c>
      <c r="W883" t="s">
        <v>12546</v>
      </c>
      <c r="X883" t="s">
        <v>12547</v>
      </c>
      <c r="Y883" t="s">
        <v>12535</v>
      </c>
      <c r="Z883" t="s">
        <v>12536</v>
      </c>
      <c r="AA883" t="s">
        <v>12537</v>
      </c>
      <c r="AB883" t="s">
        <v>12538</v>
      </c>
      <c r="AC883" t="s">
        <v>74</v>
      </c>
      <c r="AD883" t="s">
        <v>74</v>
      </c>
      <c r="AE883" t="s">
        <v>74</v>
      </c>
      <c r="AF883" t="s">
        <v>74</v>
      </c>
      <c r="AG883">
        <v>44</v>
      </c>
      <c r="AH883">
        <v>10</v>
      </c>
      <c r="AI883">
        <v>10</v>
      </c>
      <c r="AJ883">
        <v>0</v>
      </c>
      <c r="AK883">
        <v>9</v>
      </c>
      <c r="AL883" t="s">
        <v>12338</v>
      </c>
      <c r="AM883" t="s">
        <v>12339</v>
      </c>
      <c r="AN883" t="s">
        <v>12340</v>
      </c>
      <c r="AO883" t="s">
        <v>12341</v>
      </c>
      <c r="AP883" t="s">
        <v>74</v>
      </c>
      <c r="AQ883" t="s">
        <v>74</v>
      </c>
      <c r="AR883" t="s">
        <v>12342</v>
      </c>
      <c r="AS883" t="s">
        <v>12343</v>
      </c>
      <c r="AT883" t="s">
        <v>74</v>
      </c>
      <c r="AU883">
        <v>2005</v>
      </c>
      <c r="AV883">
        <v>296</v>
      </c>
      <c r="AW883" t="s">
        <v>74</v>
      </c>
      <c r="AX883" t="s">
        <v>74</v>
      </c>
      <c r="AY883" t="s">
        <v>74</v>
      </c>
      <c r="AZ883" t="s">
        <v>74</v>
      </c>
      <c r="BA883" t="s">
        <v>74</v>
      </c>
      <c r="BB883">
        <v>81</v>
      </c>
      <c r="BC883">
        <v>91</v>
      </c>
      <c r="BD883" t="s">
        <v>74</v>
      </c>
      <c r="BE883" t="s">
        <v>12548</v>
      </c>
      <c r="BF883" t="str">
        <f>HYPERLINK("http://dx.doi.org/10.3354/meps296081","http://dx.doi.org/10.3354/meps296081")</f>
        <v>http://dx.doi.org/10.3354/meps296081</v>
      </c>
      <c r="BG883" t="s">
        <v>74</v>
      </c>
      <c r="BH883" t="s">
        <v>74</v>
      </c>
      <c r="BI883">
        <v>11</v>
      </c>
      <c r="BJ883" t="s">
        <v>12345</v>
      </c>
      <c r="BK883" t="s">
        <v>95</v>
      </c>
      <c r="BL883" t="s">
        <v>12346</v>
      </c>
      <c r="BM883" t="s">
        <v>12540</v>
      </c>
      <c r="BN883" t="s">
        <v>74</v>
      </c>
      <c r="BO883" t="s">
        <v>539</v>
      </c>
      <c r="BP883" t="s">
        <v>74</v>
      </c>
      <c r="BQ883" t="s">
        <v>74</v>
      </c>
      <c r="BR883" t="s">
        <v>97</v>
      </c>
      <c r="BS883" t="s">
        <v>12549</v>
      </c>
      <c r="BT883" t="str">
        <f>HYPERLINK("https%3A%2F%2Fwww.webofscience.com%2Fwos%2Fwoscc%2Ffull-record%2FWOS:000231365700007","View Full Record in Web of Science")</f>
        <v>View Full Record in Web of Science</v>
      </c>
    </row>
    <row r="884" spans="1:72" x14ac:dyDescent="0.15">
      <c r="A884" t="s">
        <v>72</v>
      </c>
      <c r="B884" t="s">
        <v>12550</v>
      </c>
      <c r="C884" t="s">
        <v>74</v>
      </c>
      <c r="D884" t="s">
        <v>74</v>
      </c>
      <c r="E884" t="s">
        <v>74</v>
      </c>
      <c r="F884" t="s">
        <v>12550</v>
      </c>
      <c r="G884" t="s">
        <v>74</v>
      </c>
      <c r="H884" t="s">
        <v>74</v>
      </c>
      <c r="I884" t="s">
        <v>12551</v>
      </c>
      <c r="J884" t="s">
        <v>12328</v>
      </c>
      <c r="K884" t="s">
        <v>74</v>
      </c>
      <c r="L884" t="s">
        <v>74</v>
      </c>
      <c r="M884" t="s">
        <v>77</v>
      </c>
      <c r="N884" t="s">
        <v>78</v>
      </c>
      <c r="O884" t="s">
        <v>74</v>
      </c>
      <c r="P884" t="s">
        <v>74</v>
      </c>
      <c r="Q884" t="s">
        <v>74</v>
      </c>
      <c r="R884" t="s">
        <v>74</v>
      </c>
      <c r="S884" t="s">
        <v>74</v>
      </c>
      <c r="T884" t="s">
        <v>12552</v>
      </c>
      <c r="U884" t="s">
        <v>12553</v>
      </c>
      <c r="V884" t="s">
        <v>12554</v>
      </c>
      <c r="W884" t="s">
        <v>12555</v>
      </c>
      <c r="X884" t="s">
        <v>12556</v>
      </c>
      <c r="Y884" t="s">
        <v>12557</v>
      </c>
      <c r="Z884" t="s">
        <v>12558</v>
      </c>
      <c r="AA884" t="s">
        <v>12559</v>
      </c>
      <c r="AB884" t="s">
        <v>12560</v>
      </c>
      <c r="AC884" t="s">
        <v>74</v>
      </c>
      <c r="AD884" t="s">
        <v>74</v>
      </c>
      <c r="AE884" t="s">
        <v>74</v>
      </c>
      <c r="AF884" t="s">
        <v>74</v>
      </c>
      <c r="AG884">
        <v>61</v>
      </c>
      <c r="AH884">
        <v>107</v>
      </c>
      <c r="AI884">
        <v>117</v>
      </c>
      <c r="AJ884">
        <v>1</v>
      </c>
      <c r="AK884">
        <v>44</v>
      </c>
      <c r="AL884" t="s">
        <v>12338</v>
      </c>
      <c r="AM884" t="s">
        <v>12339</v>
      </c>
      <c r="AN884" t="s">
        <v>12340</v>
      </c>
      <c r="AO884" t="s">
        <v>12341</v>
      </c>
      <c r="AP884" t="s">
        <v>74</v>
      </c>
      <c r="AQ884" t="s">
        <v>74</v>
      </c>
      <c r="AR884" t="s">
        <v>12342</v>
      </c>
      <c r="AS884" t="s">
        <v>12343</v>
      </c>
      <c r="AT884" t="s">
        <v>74</v>
      </c>
      <c r="AU884">
        <v>2005</v>
      </c>
      <c r="AV884">
        <v>296</v>
      </c>
      <c r="AW884" t="s">
        <v>74</v>
      </c>
      <c r="AX884" t="s">
        <v>74</v>
      </c>
      <c r="AY884" t="s">
        <v>74</v>
      </c>
      <c r="AZ884" t="s">
        <v>74</v>
      </c>
      <c r="BA884" t="s">
        <v>74</v>
      </c>
      <c r="BB884">
        <v>107</v>
      </c>
      <c r="BC884">
        <v>113</v>
      </c>
      <c r="BD884" t="s">
        <v>74</v>
      </c>
      <c r="BE884" t="s">
        <v>12561</v>
      </c>
      <c r="BF884" t="str">
        <f>HYPERLINK("http://dx.doi.org/10.3354/meps296107","http://dx.doi.org/10.3354/meps296107")</f>
        <v>http://dx.doi.org/10.3354/meps296107</v>
      </c>
      <c r="BG884" t="s">
        <v>74</v>
      </c>
      <c r="BH884" t="s">
        <v>74</v>
      </c>
      <c r="BI884">
        <v>7</v>
      </c>
      <c r="BJ884" t="s">
        <v>12345</v>
      </c>
      <c r="BK884" t="s">
        <v>95</v>
      </c>
      <c r="BL884" t="s">
        <v>12346</v>
      </c>
      <c r="BM884" t="s">
        <v>12540</v>
      </c>
      <c r="BN884" t="s">
        <v>74</v>
      </c>
      <c r="BO884" t="s">
        <v>6439</v>
      </c>
      <c r="BP884" t="s">
        <v>74</v>
      </c>
      <c r="BQ884" t="s">
        <v>74</v>
      </c>
      <c r="BR884" t="s">
        <v>97</v>
      </c>
      <c r="BS884" t="s">
        <v>12562</v>
      </c>
      <c r="BT884" t="str">
        <f>HYPERLINK("https%3A%2F%2Fwww.webofscience.com%2Fwos%2Fwoscc%2Ffull-record%2FWOS:000231365700009","View Full Record in Web of Science")</f>
        <v>View Full Record in Web of Science</v>
      </c>
    </row>
    <row r="885" spans="1:72" x14ac:dyDescent="0.15">
      <c r="A885" t="s">
        <v>72</v>
      </c>
      <c r="B885" t="s">
        <v>12563</v>
      </c>
      <c r="C885" t="s">
        <v>74</v>
      </c>
      <c r="D885" t="s">
        <v>74</v>
      </c>
      <c r="E885" t="s">
        <v>74</v>
      </c>
      <c r="F885" t="s">
        <v>12563</v>
      </c>
      <c r="G885" t="s">
        <v>74</v>
      </c>
      <c r="H885" t="s">
        <v>74</v>
      </c>
      <c r="I885" t="s">
        <v>12564</v>
      </c>
      <c r="J885" t="s">
        <v>12328</v>
      </c>
      <c r="K885" t="s">
        <v>74</v>
      </c>
      <c r="L885" t="s">
        <v>74</v>
      </c>
      <c r="M885" t="s">
        <v>77</v>
      </c>
      <c r="N885" t="s">
        <v>78</v>
      </c>
      <c r="O885" t="s">
        <v>74</v>
      </c>
      <c r="P885" t="s">
        <v>74</v>
      </c>
      <c r="Q885" t="s">
        <v>74</v>
      </c>
      <c r="R885" t="s">
        <v>74</v>
      </c>
      <c r="S885" t="s">
        <v>74</v>
      </c>
      <c r="T885" t="s">
        <v>12565</v>
      </c>
      <c r="U885" t="s">
        <v>12566</v>
      </c>
      <c r="V885" t="s">
        <v>12567</v>
      </c>
      <c r="W885" t="s">
        <v>12568</v>
      </c>
      <c r="X885" t="s">
        <v>12569</v>
      </c>
      <c r="Y885" t="s">
        <v>12570</v>
      </c>
      <c r="Z885" t="s">
        <v>12571</v>
      </c>
      <c r="AA885" t="s">
        <v>12572</v>
      </c>
      <c r="AB885" t="s">
        <v>12573</v>
      </c>
      <c r="AC885" t="s">
        <v>74</v>
      </c>
      <c r="AD885" t="s">
        <v>74</v>
      </c>
      <c r="AE885" t="s">
        <v>74</v>
      </c>
      <c r="AF885" t="s">
        <v>74</v>
      </c>
      <c r="AG885">
        <v>67</v>
      </c>
      <c r="AH885">
        <v>58</v>
      </c>
      <c r="AI885">
        <v>62</v>
      </c>
      <c r="AJ885">
        <v>2</v>
      </c>
      <c r="AK885">
        <v>32</v>
      </c>
      <c r="AL885" t="s">
        <v>12338</v>
      </c>
      <c r="AM885" t="s">
        <v>12339</v>
      </c>
      <c r="AN885" t="s">
        <v>12340</v>
      </c>
      <c r="AO885" t="s">
        <v>12341</v>
      </c>
      <c r="AP885" t="s">
        <v>12356</v>
      </c>
      <c r="AQ885" t="s">
        <v>74</v>
      </c>
      <c r="AR885" t="s">
        <v>12342</v>
      </c>
      <c r="AS885" t="s">
        <v>12343</v>
      </c>
      <c r="AT885" t="s">
        <v>74</v>
      </c>
      <c r="AU885">
        <v>2005</v>
      </c>
      <c r="AV885">
        <v>296</v>
      </c>
      <c r="AW885" t="s">
        <v>74</v>
      </c>
      <c r="AX885" t="s">
        <v>74</v>
      </c>
      <c r="AY885" t="s">
        <v>74</v>
      </c>
      <c r="AZ885" t="s">
        <v>74</v>
      </c>
      <c r="BA885" t="s">
        <v>74</v>
      </c>
      <c r="BB885">
        <v>183</v>
      </c>
      <c r="BC885">
        <v>196</v>
      </c>
      <c r="BD885" t="s">
        <v>74</v>
      </c>
      <c r="BE885" t="s">
        <v>12574</v>
      </c>
      <c r="BF885" t="str">
        <f>HYPERLINK("http://dx.doi.org/10.3354/meps296183","http://dx.doi.org/10.3354/meps296183")</f>
        <v>http://dx.doi.org/10.3354/meps296183</v>
      </c>
      <c r="BG885" t="s">
        <v>74</v>
      </c>
      <c r="BH885" t="s">
        <v>74</v>
      </c>
      <c r="BI885">
        <v>14</v>
      </c>
      <c r="BJ885" t="s">
        <v>12345</v>
      </c>
      <c r="BK885" t="s">
        <v>95</v>
      </c>
      <c r="BL885" t="s">
        <v>12346</v>
      </c>
      <c r="BM885" t="s">
        <v>12540</v>
      </c>
      <c r="BN885" t="s">
        <v>74</v>
      </c>
      <c r="BO885" t="s">
        <v>539</v>
      </c>
      <c r="BP885" t="s">
        <v>74</v>
      </c>
      <c r="BQ885" t="s">
        <v>74</v>
      </c>
      <c r="BR885" t="s">
        <v>97</v>
      </c>
      <c r="BS885" t="s">
        <v>12575</v>
      </c>
      <c r="BT885" t="str">
        <f>HYPERLINK("https%3A%2F%2Fwww.webofscience.com%2Fwos%2Fwoscc%2Ffull-record%2FWOS:000231365700016","View Full Record in Web of Science")</f>
        <v>View Full Record in Web of Science</v>
      </c>
    </row>
    <row r="886" spans="1:72" x14ac:dyDescent="0.15">
      <c r="A886" t="s">
        <v>72</v>
      </c>
      <c r="B886" t="s">
        <v>12576</v>
      </c>
      <c r="C886" t="s">
        <v>74</v>
      </c>
      <c r="D886" t="s">
        <v>74</v>
      </c>
      <c r="E886" t="s">
        <v>74</v>
      </c>
      <c r="F886" t="s">
        <v>12576</v>
      </c>
      <c r="G886" t="s">
        <v>74</v>
      </c>
      <c r="H886" t="s">
        <v>74</v>
      </c>
      <c r="I886" t="s">
        <v>12577</v>
      </c>
      <c r="J886" t="s">
        <v>12328</v>
      </c>
      <c r="K886" t="s">
        <v>74</v>
      </c>
      <c r="L886" t="s">
        <v>74</v>
      </c>
      <c r="M886" t="s">
        <v>77</v>
      </c>
      <c r="N886" t="s">
        <v>78</v>
      </c>
      <c r="O886" t="s">
        <v>74</v>
      </c>
      <c r="P886" t="s">
        <v>74</v>
      </c>
      <c r="Q886" t="s">
        <v>74</v>
      </c>
      <c r="R886" t="s">
        <v>74</v>
      </c>
      <c r="S886" t="s">
        <v>74</v>
      </c>
      <c r="T886" t="s">
        <v>12578</v>
      </c>
      <c r="U886" t="s">
        <v>12579</v>
      </c>
      <c r="V886" t="s">
        <v>12580</v>
      </c>
      <c r="W886" t="s">
        <v>12581</v>
      </c>
      <c r="X886" t="s">
        <v>12582</v>
      </c>
      <c r="Y886" t="s">
        <v>12583</v>
      </c>
      <c r="Z886" t="s">
        <v>12584</v>
      </c>
      <c r="AA886" t="s">
        <v>12585</v>
      </c>
      <c r="AB886" t="s">
        <v>12586</v>
      </c>
      <c r="AC886" t="s">
        <v>74</v>
      </c>
      <c r="AD886" t="s">
        <v>74</v>
      </c>
      <c r="AE886" t="s">
        <v>74</v>
      </c>
      <c r="AF886" t="s">
        <v>74</v>
      </c>
      <c r="AG886">
        <v>52</v>
      </c>
      <c r="AH886">
        <v>45</v>
      </c>
      <c r="AI886">
        <v>45</v>
      </c>
      <c r="AJ886">
        <v>1</v>
      </c>
      <c r="AK886">
        <v>8</v>
      </c>
      <c r="AL886" t="s">
        <v>12338</v>
      </c>
      <c r="AM886" t="s">
        <v>12339</v>
      </c>
      <c r="AN886" t="s">
        <v>12340</v>
      </c>
      <c r="AO886" t="s">
        <v>12341</v>
      </c>
      <c r="AP886" t="s">
        <v>12356</v>
      </c>
      <c r="AQ886" t="s">
        <v>74</v>
      </c>
      <c r="AR886" t="s">
        <v>12342</v>
      </c>
      <c r="AS886" t="s">
        <v>12343</v>
      </c>
      <c r="AT886" t="s">
        <v>74</v>
      </c>
      <c r="AU886">
        <v>2005</v>
      </c>
      <c r="AV886">
        <v>296</v>
      </c>
      <c r="AW886" t="s">
        <v>74</v>
      </c>
      <c r="AX886" t="s">
        <v>74</v>
      </c>
      <c r="AY886" t="s">
        <v>74</v>
      </c>
      <c r="AZ886" t="s">
        <v>74</v>
      </c>
      <c r="BA886" t="s">
        <v>74</v>
      </c>
      <c r="BB886">
        <v>263</v>
      </c>
      <c r="BC886">
        <v>279</v>
      </c>
      <c r="BD886" t="s">
        <v>74</v>
      </c>
      <c r="BE886" t="s">
        <v>12587</v>
      </c>
      <c r="BF886" t="str">
        <f>HYPERLINK("http://dx.doi.org/10.3354/meps296263","http://dx.doi.org/10.3354/meps296263")</f>
        <v>http://dx.doi.org/10.3354/meps296263</v>
      </c>
      <c r="BG886" t="s">
        <v>74</v>
      </c>
      <c r="BH886" t="s">
        <v>74</v>
      </c>
      <c r="BI886">
        <v>17</v>
      </c>
      <c r="BJ886" t="s">
        <v>12345</v>
      </c>
      <c r="BK886" t="s">
        <v>95</v>
      </c>
      <c r="BL886" t="s">
        <v>12346</v>
      </c>
      <c r="BM886" t="s">
        <v>12540</v>
      </c>
      <c r="BN886" t="s">
        <v>74</v>
      </c>
      <c r="BO886" t="s">
        <v>855</v>
      </c>
      <c r="BP886" t="s">
        <v>74</v>
      </c>
      <c r="BQ886" t="s">
        <v>74</v>
      </c>
      <c r="BR886" t="s">
        <v>97</v>
      </c>
      <c r="BS886" t="s">
        <v>12588</v>
      </c>
      <c r="BT886" t="str">
        <f>HYPERLINK("https%3A%2F%2Fwww.webofscience.com%2Fwos%2Fwoscc%2Ffull-record%2FWOS:000231365700023","View Full Record in Web of Science")</f>
        <v>View Full Record in Web of Science</v>
      </c>
    </row>
    <row r="887" spans="1:72" x14ac:dyDescent="0.15">
      <c r="A887" t="s">
        <v>72</v>
      </c>
      <c r="B887" t="s">
        <v>12589</v>
      </c>
      <c r="C887" t="s">
        <v>74</v>
      </c>
      <c r="D887" t="s">
        <v>74</v>
      </c>
      <c r="E887" t="s">
        <v>74</v>
      </c>
      <c r="F887" t="s">
        <v>12589</v>
      </c>
      <c r="G887" t="s">
        <v>74</v>
      </c>
      <c r="H887" t="s">
        <v>74</v>
      </c>
      <c r="I887" t="s">
        <v>12590</v>
      </c>
      <c r="J887" t="s">
        <v>12328</v>
      </c>
      <c r="K887" t="s">
        <v>74</v>
      </c>
      <c r="L887" t="s">
        <v>74</v>
      </c>
      <c r="M887" t="s">
        <v>77</v>
      </c>
      <c r="N887" t="s">
        <v>365</v>
      </c>
      <c r="O887" t="s">
        <v>74</v>
      </c>
      <c r="P887" t="s">
        <v>74</v>
      </c>
      <c r="Q887" t="s">
        <v>74</v>
      </c>
      <c r="R887" t="s">
        <v>74</v>
      </c>
      <c r="S887" t="s">
        <v>74</v>
      </c>
      <c r="T887" t="s">
        <v>12591</v>
      </c>
      <c r="U887" t="s">
        <v>12592</v>
      </c>
      <c r="V887" t="s">
        <v>12593</v>
      </c>
      <c r="W887" t="s">
        <v>12594</v>
      </c>
      <c r="X887" t="s">
        <v>12595</v>
      </c>
      <c r="Y887" t="s">
        <v>12596</v>
      </c>
      <c r="Z887" t="s">
        <v>12597</v>
      </c>
      <c r="AA887" t="s">
        <v>12598</v>
      </c>
      <c r="AB887" t="s">
        <v>12599</v>
      </c>
      <c r="AC887" t="s">
        <v>74</v>
      </c>
      <c r="AD887" t="s">
        <v>74</v>
      </c>
      <c r="AE887" t="s">
        <v>74</v>
      </c>
      <c r="AF887" t="s">
        <v>74</v>
      </c>
      <c r="AG887">
        <v>158</v>
      </c>
      <c r="AH887">
        <v>356</v>
      </c>
      <c r="AI887">
        <v>404</v>
      </c>
      <c r="AJ887">
        <v>3</v>
      </c>
      <c r="AK887">
        <v>132</v>
      </c>
      <c r="AL887" t="s">
        <v>12338</v>
      </c>
      <c r="AM887" t="s">
        <v>12339</v>
      </c>
      <c r="AN887" t="s">
        <v>12340</v>
      </c>
      <c r="AO887" t="s">
        <v>12341</v>
      </c>
      <c r="AP887" t="s">
        <v>12356</v>
      </c>
      <c r="AQ887" t="s">
        <v>74</v>
      </c>
      <c r="AR887" t="s">
        <v>12342</v>
      </c>
      <c r="AS887" t="s">
        <v>12343</v>
      </c>
      <c r="AT887" t="s">
        <v>74</v>
      </c>
      <c r="AU887">
        <v>2005</v>
      </c>
      <c r="AV887">
        <v>296</v>
      </c>
      <c r="AW887" t="s">
        <v>74</v>
      </c>
      <c r="AX887" t="s">
        <v>74</v>
      </c>
      <c r="AY887" t="s">
        <v>74</v>
      </c>
      <c r="AZ887" t="s">
        <v>74</v>
      </c>
      <c r="BA887" t="s">
        <v>74</v>
      </c>
      <c r="BB887">
        <v>291</v>
      </c>
      <c r="BC887">
        <v>309</v>
      </c>
      <c r="BD887" t="s">
        <v>74</v>
      </c>
      <c r="BE887" t="s">
        <v>12600</v>
      </c>
      <c r="BF887" t="str">
        <f>HYPERLINK("http://dx.doi.org/10.3354/meps296291","http://dx.doi.org/10.3354/meps296291")</f>
        <v>http://dx.doi.org/10.3354/meps296291</v>
      </c>
      <c r="BG887" t="s">
        <v>74</v>
      </c>
      <c r="BH887" t="s">
        <v>74</v>
      </c>
      <c r="BI887">
        <v>19</v>
      </c>
      <c r="BJ887" t="s">
        <v>12345</v>
      </c>
      <c r="BK887" t="s">
        <v>95</v>
      </c>
      <c r="BL887" t="s">
        <v>12346</v>
      </c>
      <c r="BM887" t="s">
        <v>12540</v>
      </c>
      <c r="BN887" t="s">
        <v>74</v>
      </c>
      <c r="BO887" t="s">
        <v>539</v>
      </c>
      <c r="BP887" t="s">
        <v>74</v>
      </c>
      <c r="BQ887" t="s">
        <v>74</v>
      </c>
      <c r="BR887" t="s">
        <v>97</v>
      </c>
      <c r="BS887" t="s">
        <v>12601</v>
      </c>
      <c r="BT887" t="str">
        <f>HYPERLINK("https%3A%2F%2Fwww.webofscience.com%2Fwos%2Fwoscc%2Ffull-record%2FWOS:000231365700025","View Full Record in Web of Science")</f>
        <v>View Full Record in Web of Science</v>
      </c>
    </row>
    <row r="888" spans="1:72" x14ac:dyDescent="0.15">
      <c r="A888" t="s">
        <v>72</v>
      </c>
      <c r="B888" t="s">
        <v>12602</v>
      </c>
      <c r="C888" t="s">
        <v>74</v>
      </c>
      <c r="D888" t="s">
        <v>74</v>
      </c>
      <c r="E888" t="s">
        <v>74</v>
      </c>
      <c r="F888" t="s">
        <v>12602</v>
      </c>
      <c r="G888" t="s">
        <v>74</v>
      </c>
      <c r="H888" t="s">
        <v>74</v>
      </c>
      <c r="I888" t="s">
        <v>12603</v>
      </c>
      <c r="J888" t="s">
        <v>12328</v>
      </c>
      <c r="K888" t="s">
        <v>74</v>
      </c>
      <c r="L888" t="s">
        <v>74</v>
      </c>
      <c r="M888" t="s">
        <v>77</v>
      </c>
      <c r="N888" t="s">
        <v>78</v>
      </c>
      <c r="O888" t="s">
        <v>74</v>
      </c>
      <c r="P888" t="s">
        <v>74</v>
      </c>
      <c r="Q888" t="s">
        <v>74</v>
      </c>
      <c r="R888" t="s">
        <v>74</v>
      </c>
      <c r="S888" t="s">
        <v>74</v>
      </c>
      <c r="T888" t="s">
        <v>12604</v>
      </c>
      <c r="U888" t="s">
        <v>12605</v>
      </c>
      <c r="V888" t="s">
        <v>12606</v>
      </c>
      <c r="W888" t="s">
        <v>12607</v>
      </c>
      <c r="X888" t="s">
        <v>878</v>
      </c>
      <c r="Y888" t="s">
        <v>12608</v>
      </c>
      <c r="Z888" t="s">
        <v>12609</v>
      </c>
      <c r="AA888" t="s">
        <v>12610</v>
      </c>
      <c r="AB888" t="s">
        <v>12611</v>
      </c>
      <c r="AC888" t="s">
        <v>74</v>
      </c>
      <c r="AD888" t="s">
        <v>74</v>
      </c>
      <c r="AE888" t="s">
        <v>74</v>
      </c>
      <c r="AF888" t="s">
        <v>74</v>
      </c>
      <c r="AG888">
        <v>53</v>
      </c>
      <c r="AH888">
        <v>146</v>
      </c>
      <c r="AI888">
        <v>162</v>
      </c>
      <c r="AJ888">
        <v>2</v>
      </c>
      <c r="AK888">
        <v>50</v>
      </c>
      <c r="AL888" t="s">
        <v>12338</v>
      </c>
      <c r="AM888" t="s">
        <v>12339</v>
      </c>
      <c r="AN888" t="s">
        <v>12340</v>
      </c>
      <c r="AO888" t="s">
        <v>12341</v>
      </c>
      <c r="AP888" t="s">
        <v>12356</v>
      </c>
      <c r="AQ888" t="s">
        <v>74</v>
      </c>
      <c r="AR888" t="s">
        <v>12342</v>
      </c>
      <c r="AS888" t="s">
        <v>12343</v>
      </c>
      <c r="AT888" t="s">
        <v>74</v>
      </c>
      <c r="AU888">
        <v>2005</v>
      </c>
      <c r="AV888">
        <v>295</v>
      </c>
      <c r="AW888" t="s">
        <v>74</v>
      </c>
      <c r="AX888" t="s">
        <v>74</v>
      </c>
      <c r="AY888" t="s">
        <v>74</v>
      </c>
      <c r="AZ888" t="s">
        <v>74</v>
      </c>
      <c r="BA888" t="s">
        <v>74</v>
      </c>
      <c r="BB888">
        <v>295</v>
      </c>
      <c r="BC888">
        <v>304</v>
      </c>
      <c r="BD888" t="s">
        <v>74</v>
      </c>
      <c r="BE888" t="s">
        <v>12612</v>
      </c>
      <c r="BF888" t="str">
        <f>HYPERLINK("http://dx.doi.org/10.3354/meps295295","http://dx.doi.org/10.3354/meps295295")</f>
        <v>http://dx.doi.org/10.3354/meps295295</v>
      </c>
      <c r="BG888" t="s">
        <v>74</v>
      </c>
      <c r="BH888" t="s">
        <v>74</v>
      </c>
      <c r="BI888">
        <v>10</v>
      </c>
      <c r="BJ888" t="s">
        <v>12345</v>
      </c>
      <c r="BK888" t="s">
        <v>95</v>
      </c>
      <c r="BL888" t="s">
        <v>12346</v>
      </c>
      <c r="BM888" t="s">
        <v>12613</v>
      </c>
      <c r="BN888" t="s">
        <v>74</v>
      </c>
      <c r="BO888" t="s">
        <v>539</v>
      </c>
      <c r="BP888" t="s">
        <v>74</v>
      </c>
      <c r="BQ888" t="s">
        <v>74</v>
      </c>
      <c r="BR888" t="s">
        <v>97</v>
      </c>
      <c r="BS888" t="s">
        <v>12614</v>
      </c>
      <c r="BT888" t="str">
        <f>HYPERLINK("https%3A%2F%2Fwww.webofscience.com%2Fwos%2Fwoscc%2Ffull-record%2FWOS:000230671800026","View Full Record in Web of Science")</f>
        <v>View Full Record in Web of Science</v>
      </c>
    </row>
    <row r="889" spans="1:72" x14ac:dyDescent="0.15">
      <c r="A889" t="s">
        <v>72</v>
      </c>
      <c r="B889" t="s">
        <v>12615</v>
      </c>
      <c r="C889" t="s">
        <v>74</v>
      </c>
      <c r="D889" t="s">
        <v>74</v>
      </c>
      <c r="E889" t="s">
        <v>74</v>
      </c>
      <c r="F889" t="s">
        <v>12615</v>
      </c>
      <c r="G889" t="s">
        <v>74</v>
      </c>
      <c r="H889" t="s">
        <v>74</v>
      </c>
      <c r="I889" t="s">
        <v>12616</v>
      </c>
      <c r="J889" t="s">
        <v>12328</v>
      </c>
      <c r="K889" t="s">
        <v>74</v>
      </c>
      <c r="L889" t="s">
        <v>74</v>
      </c>
      <c r="M889" t="s">
        <v>77</v>
      </c>
      <c r="N889" t="s">
        <v>78</v>
      </c>
      <c r="O889" t="s">
        <v>74</v>
      </c>
      <c r="P889" t="s">
        <v>74</v>
      </c>
      <c r="Q889" t="s">
        <v>74</v>
      </c>
      <c r="R889" t="s">
        <v>74</v>
      </c>
      <c r="S889" t="s">
        <v>74</v>
      </c>
      <c r="T889" t="s">
        <v>12617</v>
      </c>
      <c r="U889" t="s">
        <v>12618</v>
      </c>
      <c r="V889" t="s">
        <v>12619</v>
      </c>
      <c r="W889" t="s">
        <v>12620</v>
      </c>
      <c r="X889" t="s">
        <v>12621</v>
      </c>
      <c r="Y889" t="s">
        <v>12622</v>
      </c>
      <c r="Z889" t="s">
        <v>9851</v>
      </c>
      <c r="AA889" t="s">
        <v>85</v>
      </c>
      <c r="AB889" t="s">
        <v>4674</v>
      </c>
      <c r="AC889" t="s">
        <v>74</v>
      </c>
      <c r="AD889" t="s">
        <v>74</v>
      </c>
      <c r="AE889" t="s">
        <v>74</v>
      </c>
      <c r="AF889" t="s">
        <v>74</v>
      </c>
      <c r="AG889">
        <v>89</v>
      </c>
      <c r="AH889">
        <v>110</v>
      </c>
      <c r="AI889">
        <v>134</v>
      </c>
      <c r="AJ889">
        <v>1</v>
      </c>
      <c r="AK889">
        <v>26</v>
      </c>
      <c r="AL889" t="s">
        <v>12338</v>
      </c>
      <c r="AM889" t="s">
        <v>12339</v>
      </c>
      <c r="AN889" t="s">
        <v>12340</v>
      </c>
      <c r="AO889" t="s">
        <v>12341</v>
      </c>
      <c r="AP889" t="s">
        <v>12356</v>
      </c>
      <c r="AQ889" t="s">
        <v>74</v>
      </c>
      <c r="AR889" t="s">
        <v>12342</v>
      </c>
      <c r="AS889" t="s">
        <v>12343</v>
      </c>
      <c r="AT889" t="s">
        <v>74</v>
      </c>
      <c r="AU889">
        <v>2005</v>
      </c>
      <c r="AV889">
        <v>294</v>
      </c>
      <c r="AW889" t="s">
        <v>74</v>
      </c>
      <c r="AX889" t="s">
        <v>74</v>
      </c>
      <c r="AY889" t="s">
        <v>74</v>
      </c>
      <c r="AZ889" t="s">
        <v>74</v>
      </c>
      <c r="BA889" t="s">
        <v>74</v>
      </c>
      <c r="BB889">
        <v>141</v>
      </c>
      <c r="BC889">
        <v>159</v>
      </c>
      <c r="BD889" t="s">
        <v>74</v>
      </c>
      <c r="BE889" t="s">
        <v>12623</v>
      </c>
      <c r="BF889" t="str">
        <f>HYPERLINK("http://dx.doi.org/10.3354/meps294141","http://dx.doi.org/10.3354/meps294141")</f>
        <v>http://dx.doi.org/10.3354/meps294141</v>
      </c>
      <c r="BG889" t="s">
        <v>74</v>
      </c>
      <c r="BH889" t="s">
        <v>74</v>
      </c>
      <c r="BI889">
        <v>19</v>
      </c>
      <c r="BJ889" t="s">
        <v>12345</v>
      </c>
      <c r="BK889" t="s">
        <v>95</v>
      </c>
      <c r="BL889" t="s">
        <v>12346</v>
      </c>
      <c r="BM889" t="s">
        <v>12624</v>
      </c>
      <c r="BN889" t="s">
        <v>74</v>
      </c>
      <c r="BO889" t="s">
        <v>855</v>
      </c>
      <c r="BP889" t="s">
        <v>74</v>
      </c>
      <c r="BQ889" t="s">
        <v>74</v>
      </c>
      <c r="BR889" t="s">
        <v>97</v>
      </c>
      <c r="BS889" t="s">
        <v>12625</v>
      </c>
      <c r="BT889" t="str">
        <f>HYPERLINK("https%3A%2F%2Fwww.webofscience.com%2Fwos%2Fwoscc%2Ffull-record%2FWOS:000230387600012","View Full Record in Web of Science")</f>
        <v>View Full Record in Web of Science</v>
      </c>
    </row>
    <row r="890" spans="1:72" x14ac:dyDescent="0.15">
      <c r="A890" t="s">
        <v>72</v>
      </c>
      <c r="B890" t="s">
        <v>12626</v>
      </c>
      <c r="C890" t="s">
        <v>74</v>
      </c>
      <c r="D890" t="s">
        <v>74</v>
      </c>
      <c r="E890" t="s">
        <v>74</v>
      </c>
      <c r="F890" t="s">
        <v>12626</v>
      </c>
      <c r="G890" t="s">
        <v>74</v>
      </c>
      <c r="H890" t="s">
        <v>74</v>
      </c>
      <c r="I890" t="s">
        <v>12627</v>
      </c>
      <c r="J890" t="s">
        <v>12328</v>
      </c>
      <c r="K890" t="s">
        <v>74</v>
      </c>
      <c r="L890" t="s">
        <v>74</v>
      </c>
      <c r="M890" t="s">
        <v>77</v>
      </c>
      <c r="N890" t="s">
        <v>78</v>
      </c>
      <c r="O890" t="s">
        <v>74</v>
      </c>
      <c r="P890" t="s">
        <v>74</v>
      </c>
      <c r="Q890" t="s">
        <v>74</v>
      </c>
      <c r="R890" t="s">
        <v>74</v>
      </c>
      <c r="S890" t="s">
        <v>74</v>
      </c>
      <c r="T890" t="s">
        <v>12628</v>
      </c>
      <c r="U890" t="s">
        <v>12629</v>
      </c>
      <c r="V890" t="s">
        <v>12630</v>
      </c>
      <c r="W890" t="s">
        <v>670</v>
      </c>
      <c r="X890" t="s">
        <v>671</v>
      </c>
      <c r="Y890" t="s">
        <v>230</v>
      </c>
      <c r="Z890" t="s">
        <v>12631</v>
      </c>
      <c r="AA890" t="s">
        <v>12632</v>
      </c>
      <c r="AB890" t="s">
        <v>12633</v>
      </c>
      <c r="AC890" t="s">
        <v>74</v>
      </c>
      <c r="AD890" t="s">
        <v>74</v>
      </c>
      <c r="AE890" t="s">
        <v>74</v>
      </c>
      <c r="AF890" t="s">
        <v>74</v>
      </c>
      <c r="AG890">
        <v>51</v>
      </c>
      <c r="AH890">
        <v>16</v>
      </c>
      <c r="AI890">
        <v>17</v>
      </c>
      <c r="AJ890">
        <v>0</v>
      </c>
      <c r="AK890">
        <v>8</v>
      </c>
      <c r="AL890" t="s">
        <v>12338</v>
      </c>
      <c r="AM890" t="s">
        <v>12339</v>
      </c>
      <c r="AN890" t="s">
        <v>12340</v>
      </c>
      <c r="AO890" t="s">
        <v>12341</v>
      </c>
      <c r="AP890" t="s">
        <v>12356</v>
      </c>
      <c r="AQ890" t="s">
        <v>74</v>
      </c>
      <c r="AR890" t="s">
        <v>12342</v>
      </c>
      <c r="AS890" t="s">
        <v>12343</v>
      </c>
      <c r="AT890" t="s">
        <v>74</v>
      </c>
      <c r="AU890">
        <v>2005</v>
      </c>
      <c r="AV890">
        <v>294</v>
      </c>
      <c r="AW890" t="s">
        <v>74</v>
      </c>
      <c r="AX890" t="s">
        <v>74</v>
      </c>
      <c r="AY890" t="s">
        <v>74</v>
      </c>
      <c r="AZ890" t="s">
        <v>74</v>
      </c>
      <c r="BA890" t="s">
        <v>74</v>
      </c>
      <c r="BB890">
        <v>283</v>
      </c>
      <c r="BC890">
        <v>294</v>
      </c>
      <c r="BD890" t="s">
        <v>74</v>
      </c>
      <c r="BE890" t="s">
        <v>12634</v>
      </c>
      <c r="BF890" t="str">
        <f>HYPERLINK("http://dx.doi.org/10.3354/meps294283","http://dx.doi.org/10.3354/meps294283")</f>
        <v>http://dx.doi.org/10.3354/meps294283</v>
      </c>
      <c r="BG890" t="s">
        <v>74</v>
      </c>
      <c r="BH890" t="s">
        <v>74</v>
      </c>
      <c r="BI890">
        <v>12</v>
      </c>
      <c r="BJ890" t="s">
        <v>12345</v>
      </c>
      <c r="BK890" t="s">
        <v>95</v>
      </c>
      <c r="BL890" t="s">
        <v>12346</v>
      </c>
      <c r="BM890" t="s">
        <v>12624</v>
      </c>
      <c r="BN890" t="s">
        <v>74</v>
      </c>
      <c r="BO890" t="s">
        <v>539</v>
      </c>
      <c r="BP890" t="s">
        <v>74</v>
      </c>
      <c r="BQ890" t="s">
        <v>74</v>
      </c>
      <c r="BR890" t="s">
        <v>97</v>
      </c>
      <c r="BS890" t="s">
        <v>12635</v>
      </c>
      <c r="BT890" t="str">
        <f>HYPERLINK("https%3A%2F%2Fwww.webofscience.com%2Fwos%2Fwoscc%2Ffull-record%2FWOS:000230387600024","View Full Record in Web of Science")</f>
        <v>View Full Record in Web of Science</v>
      </c>
    </row>
    <row r="891" spans="1:72" x14ac:dyDescent="0.15">
      <c r="A891" t="s">
        <v>72</v>
      </c>
      <c r="B891" t="s">
        <v>12636</v>
      </c>
      <c r="C891" t="s">
        <v>74</v>
      </c>
      <c r="D891" t="s">
        <v>74</v>
      </c>
      <c r="E891" t="s">
        <v>74</v>
      </c>
      <c r="F891" t="s">
        <v>12636</v>
      </c>
      <c r="G891" t="s">
        <v>74</v>
      </c>
      <c r="H891" t="s">
        <v>74</v>
      </c>
      <c r="I891" t="s">
        <v>12637</v>
      </c>
      <c r="J891" t="s">
        <v>12328</v>
      </c>
      <c r="K891" t="s">
        <v>74</v>
      </c>
      <c r="L891" t="s">
        <v>74</v>
      </c>
      <c r="M891" t="s">
        <v>77</v>
      </c>
      <c r="N891" t="s">
        <v>78</v>
      </c>
      <c r="O891" t="s">
        <v>74</v>
      </c>
      <c r="P891" t="s">
        <v>74</v>
      </c>
      <c r="Q891" t="s">
        <v>74</v>
      </c>
      <c r="R891" t="s">
        <v>74</v>
      </c>
      <c r="S891" t="s">
        <v>74</v>
      </c>
      <c r="T891" t="s">
        <v>12638</v>
      </c>
      <c r="U891" t="s">
        <v>12639</v>
      </c>
      <c r="V891" t="s">
        <v>12640</v>
      </c>
      <c r="W891" t="s">
        <v>12641</v>
      </c>
      <c r="X891" t="s">
        <v>12642</v>
      </c>
      <c r="Y891" t="s">
        <v>2721</v>
      </c>
      <c r="Z891" t="s">
        <v>12643</v>
      </c>
      <c r="AA891" t="s">
        <v>12644</v>
      </c>
      <c r="AB891" t="s">
        <v>12645</v>
      </c>
      <c r="AC891" t="s">
        <v>74</v>
      </c>
      <c r="AD891" t="s">
        <v>74</v>
      </c>
      <c r="AE891" t="s">
        <v>74</v>
      </c>
      <c r="AF891" t="s">
        <v>74</v>
      </c>
      <c r="AG891">
        <v>46</v>
      </c>
      <c r="AH891">
        <v>36</v>
      </c>
      <c r="AI891">
        <v>41</v>
      </c>
      <c r="AJ891">
        <v>1</v>
      </c>
      <c r="AK891">
        <v>19</v>
      </c>
      <c r="AL891" t="s">
        <v>12338</v>
      </c>
      <c r="AM891" t="s">
        <v>12339</v>
      </c>
      <c r="AN891" t="s">
        <v>12340</v>
      </c>
      <c r="AO891" t="s">
        <v>12341</v>
      </c>
      <c r="AP891" t="s">
        <v>12356</v>
      </c>
      <c r="AQ891" t="s">
        <v>74</v>
      </c>
      <c r="AR891" t="s">
        <v>12342</v>
      </c>
      <c r="AS891" t="s">
        <v>12343</v>
      </c>
      <c r="AT891" t="s">
        <v>74</v>
      </c>
      <c r="AU891">
        <v>2005</v>
      </c>
      <c r="AV891">
        <v>293</v>
      </c>
      <c r="AW891" t="s">
        <v>74</v>
      </c>
      <c r="AX891" t="s">
        <v>74</v>
      </c>
      <c r="AY891" t="s">
        <v>74</v>
      </c>
      <c r="AZ891" t="s">
        <v>74</v>
      </c>
      <c r="BA891" t="s">
        <v>74</v>
      </c>
      <c r="BB891">
        <v>273</v>
      </c>
      <c r="BC891">
        <v>282</v>
      </c>
      <c r="BD891" t="s">
        <v>74</v>
      </c>
      <c r="BE891" t="s">
        <v>12646</v>
      </c>
      <c r="BF891" t="str">
        <f>HYPERLINK("http://dx.doi.org/10.3354/meps293273","http://dx.doi.org/10.3354/meps293273")</f>
        <v>http://dx.doi.org/10.3354/meps293273</v>
      </c>
      <c r="BG891" t="s">
        <v>74</v>
      </c>
      <c r="BH891" t="s">
        <v>74</v>
      </c>
      <c r="BI891">
        <v>10</v>
      </c>
      <c r="BJ891" t="s">
        <v>12345</v>
      </c>
      <c r="BK891" t="s">
        <v>95</v>
      </c>
      <c r="BL891" t="s">
        <v>12346</v>
      </c>
      <c r="BM891" t="s">
        <v>12647</v>
      </c>
      <c r="BN891" t="s">
        <v>74</v>
      </c>
      <c r="BO891" t="s">
        <v>12648</v>
      </c>
      <c r="BP891" t="s">
        <v>74</v>
      </c>
      <c r="BQ891" t="s">
        <v>74</v>
      </c>
      <c r="BR891" t="s">
        <v>97</v>
      </c>
      <c r="BS891" t="s">
        <v>12649</v>
      </c>
      <c r="BT891" t="str">
        <f>HYPERLINK("https%3A%2F%2Fwww.webofscience.com%2Fwos%2Fwoscc%2Ffull-record%2FWOS:000230387400026","View Full Record in Web of Science")</f>
        <v>View Full Record in Web of Science</v>
      </c>
    </row>
    <row r="892" spans="1:72" x14ac:dyDescent="0.15">
      <c r="A892" t="s">
        <v>72</v>
      </c>
      <c r="B892" t="s">
        <v>12650</v>
      </c>
      <c r="C892" t="s">
        <v>74</v>
      </c>
      <c r="D892" t="s">
        <v>74</v>
      </c>
      <c r="E892" t="s">
        <v>74</v>
      </c>
      <c r="F892" t="s">
        <v>12650</v>
      </c>
      <c r="G892" t="s">
        <v>74</v>
      </c>
      <c r="H892" t="s">
        <v>74</v>
      </c>
      <c r="I892" t="s">
        <v>12651</v>
      </c>
      <c r="J892" t="s">
        <v>12328</v>
      </c>
      <c r="K892" t="s">
        <v>74</v>
      </c>
      <c r="L892" t="s">
        <v>74</v>
      </c>
      <c r="M892" t="s">
        <v>77</v>
      </c>
      <c r="N892" t="s">
        <v>78</v>
      </c>
      <c r="O892" t="s">
        <v>74</v>
      </c>
      <c r="P892" t="s">
        <v>74</v>
      </c>
      <c r="Q892" t="s">
        <v>74</v>
      </c>
      <c r="R892" t="s">
        <v>74</v>
      </c>
      <c r="S892" t="s">
        <v>74</v>
      </c>
      <c r="T892" t="s">
        <v>12652</v>
      </c>
      <c r="U892" t="s">
        <v>12653</v>
      </c>
      <c r="V892" t="s">
        <v>12654</v>
      </c>
      <c r="W892" t="s">
        <v>12655</v>
      </c>
      <c r="X892" t="s">
        <v>12656</v>
      </c>
      <c r="Y892" t="s">
        <v>12657</v>
      </c>
      <c r="Z892" t="s">
        <v>12658</v>
      </c>
      <c r="AA892" t="s">
        <v>12659</v>
      </c>
      <c r="AB892" t="s">
        <v>12660</v>
      </c>
      <c r="AC892" t="s">
        <v>74</v>
      </c>
      <c r="AD892" t="s">
        <v>74</v>
      </c>
      <c r="AE892" t="s">
        <v>74</v>
      </c>
      <c r="AF892" t="s">
        <v>74</v>
      </c>
      <c r="AG892">
        <v>46</v>
      </c>
      <c r="AH892">
        <v>53</v>
      </c>
      <c r="AI892">
        <v>57</v>
      </c>
      <c r="AJ892">
        <v>0</v>
      </c>
      <c r="AK892">
        <v>15</v>
      </c>
      <c r="AL892" t="s">
        <v>12338</v>
      </c>
      <c r="AM892" t="s">
        <v>12339</v>
      </c>
      <c r="AN892" t="s">
        <v>12340</v>
      </c>
      <c r="AO892" t="s">
        <v>12341</v>
      </c>
      <c r="AP892" t="s">
        <v>12356</v>
      </c>
      <c r="AQ892" t="s">
        <v>74</v>
      </c>
      <c r="AR892" t="s">
        <v>12342</v>
      </c>
      <c r="AS892" t="s">
        <v>12343</v>
      </c>
      <c r="AT892" t="s">
        <v>74</v>
      </c>
      <c r="AU892">
        <v>2005</v>
      </c>
      <c r="AV892">
        <v>292</v>
      </c>
      <c r="AW892" t="s">
        <v>74</v>
      </c>
      <c r="AX892" t="s">
        <v>74</v>
      </c>
      <c r="AY892" t="s">
        <v>74</v>
      </c>
      <c r="AZ892" t="s">
        <v>74</v>
      </c>
      <c r="BA892" t="s">
        <v>74</v>
      </c>
      <c r="BB892">
        <v>13</v>
      </c>
      <c r="BC892">
        <v>21</v>
      </c>
      <c r="BD892" t="s">
        <v>74</v>
      </c>
      <c r="BE892" t="s">
        <v>74</v>
      </c>
      <c r="BF892" t="s">
        <v>74</v>
      </c>
      <c r="BG892" t="s">
        <v>74</v>
      </c>
      <c r="BH892" t="s">
        <v>74</v>
      </c>
      <c r="BI892">
        <v>9</v>
      </c>
      <c r="BJ892" t="s">
        <v>12345</v>
      </c>
      <c r="BK892" t="s">
        <v>95</v>
      </c>
      <c r="BL892" t="s">
        <v>12346</v>
      </c>
      <c r="BM892" t="s">
        <v>12661</v>
      </c>
      <c r="BN892" t="s">
        <v>74</v>
      </c>
      <c r="BO892" t="s">
        <v>74</v>
      </c>
      <c r="BP892" t="s">
        <v>74</v>
      </c>
      <c r="BQ892" t="s">
        <v>74</v>
      </c>
      <c r="BR892" t="s">
        <v>97</v>
      </c>
      <c r="BS892" t="s">
        <v>12662</v>
      </c>
      <c r="BT892" t="str">
        <f>HYPERLINK("https%3A%2F%2Fwww.webofscience.com%2Fwos%2Fwoscc%2Ffull-record%2FWOS:000229927900002","View Full Record in Web of Science")</f>
        <v>View Full Record in Web of Science</v>
      </c>
    </row>
    <row r="893" spans="1:72" x14ac:dyDescent="0.15">
      <c r="A893" t="s">
        <v>72</v>
      </c>
      <c r="B893" t="s">
        <v>12663</v>
      </c>
      <c r="C893" t="s">
        <v>74</v>
      </c>
      <c r="D893" t="s">
        <v>74</v>
      </c>
      <c r="E893" t="s">
        <v>74</v>
      </c>
      <c r="F893" t="s">
        <v>12663</v>
      </c>
      <c r="G893" t="s">
        <v>74</v>
      </c>
      <c r="H893" t="s">
        <v>74</v>
      </c>
      <c r="I893" t="s">
        <v>12664</v>
      </c>
      <c r="J893" t="s">
        <v>12328</v>
      </c>
      <c r="K893" t="s">
        <v>74</v>
      </c>
      <c r="L893" t="s">
        <v>74</v>
      </c>
      <c r="M893" t="s">
        <v>77</v>
      </c>
      <c r="N893" t="s">
        <v>78</v>
      </c>
      <c r="O893" t="s">
        <v>74</v>
      </c>
      <c r="P893" t="s">
        <v>74</v>
      </c>
      <c r="Q893" t="s">
        <v>74</v>
      </c>
      <c r="R893" t="s">
        <v>74</v>
      </c>
      <c r="S893" t="s">
        <v>74</v>
      </c>
      <c r="T893" t="s">
        <v>12665</v>
      </c>
      <c r="U893" t="s">
        <v>12666</v>
      </c>
      <c r="V893" t="s">
        <v>12667</v>
      </c>
      <c r="W893" t="s">
        <v>12668</v>
      </c>
      <c r="X893" t="s">
        <v>12669</v>
      </c>
      <c r="Y893" t="s">
        <v>12670</v>
      </c>
      <c r="Z893" t="s">
        <v>12671</v>
      </c>
      <c r="AA893" t="s">
        <v>12672</v>
      </c>
      <c r="AB893" t="s">
        <v>12673</v>
      </c>
      <c r="AC893" t="s">
        <v>74</v>
      </c>
      <c r="AD893" t="s">
        <v>74</v>
      </c>
      <c r="AE893" t="s">
        <v>74</v>
      </c>
      <c r="AF893" t="s">
        <v>74</v>
      </c>
      <c r="AG893">
        <v>34</v>
      </c>
      <c r="AH893">
        <v>71</v>
      </c>
      <c r="AI893">
        <v>82</v>
      </c>
      <c r="AJ893">
        <v>0</v>
      </c>
      <c r="AK893">
        <v>21</v>
      </c>
      <c r="AL893" t="s">
        <v>12338</v>
      </c>
      <c r="AM893" t="s">
        <v>12339</v>
      </c>
      <c r="AN893" t="s">
        <v>12340</v>
      </c>
      <c r="AO893" t="s">
        <v>12341</v>
      </c>
      <c r="AP893" t="s">
        <v>12356</v>
      </c>
      <c r="AQ893" t="s">
        <v>74</v>
      </c>
      <c r="AR893" t="s">
        <v>12342</v>
      </c>
      <c r="AS893" t="s">
        <v>12343</v>
      </c>
      <c r="AT893" t="s">
        <v>74</v>
      </c>
      <c r="AU893">
        <v>2005</v>
      </c>
      <c r="AV893">
        <v>292</v>
      </c>
      <c r="AW893" t="s">
        <v>74</v>
      </c>
      <c r="AX893" t="s">
        <v>74</v>
      </c>
      <c r="AY893" t="s">
        <v>74</v>
      </c>
      <c r="AZ893" t="s">
        <v>74</v>
      </c>
      <c r="BA893" t="s">
        <v>74</v>
      </c>
      <c r="BB893">
        <v>85</v>
      </c>
      <c r="BC893">
        <v>95</v>
      </c>
      <c r="BD893" t="s">
        <v>74</v>
      </c>
      <c r="BE893" t="s">
        <v>12674</v>
      </c>
      <c r="BF893" t="str">
        <f>HYPERLINK("http://dx.doi.org/10.3354/meps292085","http://dx.doi.org/10.3354/meps292085")</f>
        <v>http://dx.doi.org/10.3354/meps292085</v>
      </c>
      <c r="BG893" t="s">
        <v>74</v>
      </c>
      <c r="BH893" t="s">
        <v>74</v>
      </c>
      <c r="BI893">
        <v>11</v>
      </c>
      <c r="BJ893" t="s">
        <v>12345</v>
      </c>
      <c r="BK893" t="s">
        <v>95</v>
      </c>
      <c r="BL893" t="s">
        <v>12346</v>
      </c>
      <c r="BM893" t="s">
        <v>12661</v>
      </c>
      <c r="BN893" t="s">
        <v>74</v>
      </c>
      <c r="BO893" t="s">
        <v>3093</v>
      </c>
      <c r="BP893" t="s">
        <v>74</v>
      </c>
      <c r="BQ893" t="s">
        <v>74</v>
      </c>
      <c r="BR893" t="s">
        <v>97</v>
      </c>
      <c r="BS893" t="s">
        <v>12675</v>
      </c>
      <c r="BT893" t="str">
        <f>HYPERLINK("https%3A%2F%2Fwww.webofscience.com%2Fwos%2Fwoscc%2Ffull-record%2FWOS:000229927900008","View Full Record in Web of Science")</f>
        <v>View Full Record in Web of Science</v>
      </c>
    </row>
    <row r="894" spans="1:72" x14ac:dyDescent="0.15">
      <c r="A894" t="s">
        <v>72</v>
      </c>
      <c r="B894" t="s">
        <v>12676</v>
      </c>
      <c r="C894" t="s">
        <v>74</v>
      </c>
      <c r="D894" t="s">
        <v>74</v>
      </c>
      <c r="E894" t="s">
        <v>74</v>
      </c>
      <c r="F894" t="s">
        <v>12676</v>
      </c>
      <c r="G894" t="s">
        <v>74</v>
      </c>
      <c r="H894" t="s">
        <v>74</v>
      </c>
      <c r="I894" t="s">
        <v>12677</v>
      </c>
      <c r="J894" t="s">
        <v>12328</v>
      </c>
      <c r="K894" t="s">
        <v>74</v>
      </c>
      <c r="L894" t="s">
        <v>74</v>
      </c>
      <c r="M894" t="s">
        <v>77</v>
      </c>
      <c r="N894" t="s">
        <v>78</v>
      </c>
      <c r="O894" t="s">
        <v>74</v>
      </c>
      <c r="P894" t="s">
        <v>74</v>
      </c>
      <c r="Q894" t="s">
        <v>74</v>
      </c>
      <c r="R894" t="s">
        <v>74</v>
      </c>
      <c r="S894" t="s">
        <v>74</v>
      </c>
      <c r="T894" t="s">
        <v>12678</v>
      </c>
      <c r="U894" t="s">
        <v>12679</v>
      </c>
      <c r="V894" t="s">
        <v>12680</v>
      </c>
      <c r="W894" t="s">
        <v>12681</v>
      </c>
      <c r="X894" t="s">
        <v>128</v>
      </c>
      <c r="Y894" t="s">
        <v>12682</v>
      </c>
      <c r="Z894" t="s">
        <v>12683</v>
      </c>
      <c r="AA894" t="s">
        <v>12684</v>
      </c>
      <c r="AB894" t="s">
        <v>12685</v>
      </c>
      <c r="AC894" t="s">
        <v>74</v>
      </c>
      <c r="AD894" t="s">
        <v>74</v>
      </c>
      <c r="AE894" t="s">
        <v>74</v>
      </c>
      <c r="AF894" t="s">
        <v>74</v>
      </c>
      <c r="AG894">
        <v>49</v>
      </c>
      <c r="AH894">
        <v>31</v>
      </c>
      <c r="AI894">
        <v>37</v>
      </c>
      <c r="AJ894">
        <v>1</v>
      </c>
      <c r="AK894">
        <v>18</v>
      </c>
      <c r="AL894" t="s">
        <v>12338</v>
      </c>
      <c r="AM894" t="s">
        <v>12339</v>
      </c>
      <c r="AN894" t="s">
        <v>12340</v>
      </c>
      <c r="AO894" t="s">
        <v>12341</v>
      </c>
      <c r="AP894" t="s">
        <v>74</v>
      </c>
      <c r="AQ894" t="s">
        <v>74</v>
      </c>
      <c r="AR894" t="s">
        <v>12342</v>
      </c>
      <c r="AS894" t="s">
        <v>12343</v>
      </c>
      <c r="AT894" t="s">
        <v>74</v>
      </c>
      <c r="AU894">
        <v>2005</v>
      </c>
      <c r="AV894">
        <v>292</v>
      </c>
      <c r="AW894" t="s">
        <v>74</v>
      </c>
      <c r="AX894" t="s">
        <v>74</v>
      </c>
      <c r="AY894" t="s">
        <v>74</v>
      </c>
      <c r="AZ894" t="s">
        <v>74</v>
      </c>
      <c r="BA894" t="s">
        <v>74</v>
      </c>
      <c r="BB894">
        <v>263</v>
      </c>
      <c r="BC894">
        <v>270</v>
      </c>
      <c r="BD894" t="s">
        <v>74</v>
      </c>
      <c r="BE894" t="s">
        <v>12686</v>
      </c>
      <c r="BF894" t="str">
        <f>HYPERLINK("http://dx.doi.org/10.3354/meps292263","http://dx.doi.org/10.3354/meps292263")</f>
        <v>http://dx.doi.org/10.3354/meps292263</v>
      </c>
      <c r="BG894" t="s">
        <v>74</v>
      </c>
      <c r="BH894" t="s">
        <v>74</v>
      </c>
      <c r="BI894">
        <v>8</v>
      </c>
      <c r="BJ894" t="s">
        <v>12345</v>
      </c>
      <c r="BK894" t="s">
        <v>95</v>
      </c>
      <c r="BL894" t="s">
        <v>12346</v>
      </c>
      <c r="BM894" t="s">
        <v>12661</v>
      </c>
      <c r="BN894" t="s">
        <v>74</v>
      </c>
      <c r="BO894" t="s">
        <v>539</v>
      </c>
      <c r="BP894" t="s">
        <v>74</v>
      </c>
      <c r="BQ894" t="s">
        <v>74</v>
      </c>
      <c r="BR894" t="s">
        <v>97</v>
      </c>
      <c r="BS894" t="s">
        <v>12687</v>
      </c>
      <c r="BT894" t="str">
        <f>HYPERLINK("https%3A%2F%2Fwww.webofscience.com%2Fwos%2Fwoscc%2Ffull-record%2FWOS:000229927900023","View Full Record in Web of Science")</f>
        <v>View Full Record in Web of Science</v>
      </c>
    </row>
    <row r="895" spans="1:72" x14ac:dyDescent="0.15">
      <c r="A895" t="s">
        <v>72</v>
      </c>
      <c r="B895" t="s">
        <v>12688</v>
      </c>
      <c r="C895" t="s">
        <v>74</v>
      </c>
      <c r="D895" t="s">
        <v>74</v>
      </c>
      <c r="E895" t="s">
        <v>74</v>
      </c>
      <c r="F895" t="s">
        <v>12688</v>
      </c>
      <c r="G895" t="s">
        <v>74</v>
      </c>
      <c r="H895" t="s">
        <v>74</v>
      </c>
      <c r="I895" t="s">
        <v>12689</v>
      </c>
      <c r="J895" t="s">
        <v>12328</v>
      </c>
      <c r="K895" t="s">
        <v>74</v>
      </c>
      <c r="L895" t="s">
        <v>74</v>
      </c>
      <c r="M895" t="s">
        <v>77</v>
      </c>
      <c r="N895" t="s">
        <v>78</v>
      </c>
      <c r="O895" t="s">
        <v>74</v>
      </c>
      <c r="P895" t="s">
        <v>74</v>
      </c>
      <c r="Q895" t="s">
        <v>74</v>
      </c>
      <c r="R895" t="s">
        <v>74</v>
      </c>
      <c r="S895" t="s">
        <v>74</v>
      </c>
      <c r="T895" t="s">
        <v>12690</v>
      </c>
      <c r="U895" t="s">
        <v>12691</v>
      </c>
      <c r="V895" t="s">
        <v>12692</v>
      </c>
      <c r="W895" t="s">
        <v>12693</v>
      </c>
      <c r="X895" t="s">
        <v>12694</v>
      </c>
      <c r="Y895" t="s">
        <v>12695</v>
      </c>
      <c r="Z895" t="s">
        <v>10650</v>
      </c>
      <c r="AA895" t="s">
        <v>12696</v>
      </c>
      <c r="AB895" t="s">
        <v>12697</v>
      </c>
      <c r="AC895" t="s">
        <v>74</v>
      </c>
      <c r="AD895" t="s">
        <v>74</v>
      </c>
      <c r="AE895" t="s">
        <v>74</v>
      </c>
      <c r="AF895" t="s">
        <v>74</v>
      </c>
      <c r="AG895">
        <v>64</v>
      </c>
      <c r="AH895">
        <v>31</v>
      </c>
      <c r="AI895">
        <v>34</v>
      </c>
      <c r="AJ895">
        <v>1</v>
      </c>
      <c r="AK895">
        <v>12</v>
      </c>
      <c r="AL895" t="s">
        <v>12338</v>
      </c>
      <c r="AM895" t="s">
        <v>12339</v>
      </c>
      <c r="AN895" t="s">
        <v>12340</v>
      </c>
      <c r="AO895" t="s">
        <v>12341</v>
      </c>
      <c r="AP895" t="s">
        <v>12356</v>
      </c>
      <c r="AQ895" t="s">
        <v>74</v>
      </c>
      <c r="AR895" t="s">
        <v>12342</v>
      </c>
      <c r="AS895" t="s">
        <v>12343</v>
      </c>
      <c r="AT895" t="s">
        <v>74</v>
      </c>
      <c r="AU895">
        <v>2005</v>
      </c>
      <c r="AV895">
        <v>291</v>
      </c>
      <c r="AW895" t="s">
        <v>74</v>
      </c>
      <c r="AX895" t="s">
        <v>74</v>
      </c>
      <c r="AY895" t="s">
        <v>74</v>
      </c>
      <c r="AZ895" t="s">
        <v>74</v>
      </c>
      <c r="BA895" t="s">
        <v>74</v>
      </c>
      <c r="BB895">
        <v>65</v>
      </c>
      <c r="BC895">
        <v>80</v>
      </c>
      <c r="BD895" t="s">
        <v>74</v>
      </c>
      <c r="BE895" t="s">
        <v>12698</v>
      </c>
      <c r="BF895" t="str">
        <f>HYPERLINK("http://dx.doi.org/10.3354/meps291065","http://dx.doi.org/10.3354/meps291065")</f>
        <v>http://dx.doi.org/10.3354/meps291065</v>
      </c>
      <c r="BG895" t="s">
        <v>74</v>
      </c>
      <c r="BH895" t="s">
        <v>74</v>
      </c>
      <c r="BI895">
        <v>16</v>
      </c>
      <c r="BJ895" t="s">
        <v>12345</v>
      </c>
      <c r="BK895" t="s">
        <v>95</v>
      </c>
      <c r="BL895" t="s">
        <v>12346</v>
      </c>
      <c r="BM895" t="s">
        <v>12699</v>
      </c>
      <c r="BN895" t="s">
        <v>74</v>
      </c>
      <c r="BO895" t="s">
        <v>539</v>
      </c>
      <c r="BP895" t="s">
        <v>74</v>
      </c>
      <c r="BQ895" t="s">
        <v>74</v>
      </c>
      <c r="BR895" t="s">
        <v>97</v>
      </c>
      <c r="BS895" t="s">
        <v>12700</v>
      </c>
      <c r="BT895" t="str">
        <f>HYPERLINK("https%3A%2F%2Fwww.webofscience.com%2Fwos%2Fwoscc%2Ffull-record%2FWOS:000229699400006","View Full Record in Web of Science")</f>
        <v>View Full Record in Web of Science</v>
      </c>
    </row>
    <row r="896" spans="1:72" x14ac:dyDescent="0.15">
      <c r="A896" t="s">
        <v>72</v>
      </c>
      <c r="B896" t="s">
        <v>12701</v>
      </c>
      <c r="C896" t="s">
        <v>74</v>
      </c>
      <c r="D896" t="s">
        <v>74</v>
      </c>
      <c r="E896" t="s">
        <v>74</v>
      </c>
      <c r="F896" t="s">
        <v>12701</v>
      </c>
      <c r="G896" t="s">
        <v>74</v>
      </c>
      <c r="H896" t="s">
        <v>74</v>
      </c>
      <c r="I896" t="s">
        <v>12702</v>
      </c>
      <c r="J896" t="s">
        <v>12328</v>
      </c>
      <c r="K896" t="s">
        <v>74</v>
      </c>
      <c r="L896" t="s">
        <v>74</v>
      </c>
      <c r="M896" t="s">
        <v>77</v>
      </c>
      <c r="N896" t="s">
        <v>78</v>
      </c>
      <c r="O896" t="s">
        <v>74</v>
      </c>
      <c r="P896" t="s">
        <v>74</v>
      </c>
      <c r="Q896" t="s">
        <v>74</v>
      </c>
      <c r="R896" t="s">
        <v>74</v>
      </c>
      <c r="S896" t="s">
        <v>74</v>
      </c>
      <c r="T896" t="s">
        <v>12703</v>
      </c>
      <c r="U896" t="s">
        <v>12704</v>
      </c>
      <c r="V896" t="s">
        <v>12705</v>
      </c>
      <c r="W896" t="s">
        <v>12706</v>
      </c>
      <c r="X896" t="s">
        <v>12707</v>
      </c>
      <c r="Y896" t="s">
        <v>12708</v>
      </c>
      <c r="Z896" t="s">
        <v>12709</v>
      </c>
      <c r="AA896" t="s">
        <v>12710</v>
      </c>
      <c r="AB896" t="s">
        <v>12711</v>
      </c>
      <c r="AC896" t="s">
        <v>74</v>
      </c>
      <c r="AD896" t="s">
        <v>74</v>
      </c>
      <c r="AE896" t="s">
        <v>74</v>
      </c>
      <c r="AF896" t="s">
        <v>74</v>
      </c>
      <c r="AG896">
        <v>51</v>
      </c>
      <c r="AH896">
        <v>33</v>
      </c>
      <c r="AI896">
        <v>39</v>
      </c>
      <c r="AJ896">
        <v>1</v>
      </c>
      <c r="AK896">
        <v>13</v>
      </c>
      <c r="AL896" t="s">
        <v>12338</v>
      </c>
      <c r="AM896" t="s">
        <v>12339</v>
      </c>
      <c r="AN896" t="s">
        <v>12340</v>
      </c>
      <c r="AO896" t="s">
        <v>12341</v>
      </c>
      <c r="AP896" t="s">
        <v>12356</v>
      </c>
      <c r="AQ896" t="s">
        <v>74</v>
      </c>
      <c r="AR896" t="s">
        <v>12342</v>
      </c>
      <c r="AS896" t="s">
        <v>12343</v>
      </c>
      <c r="AT896" t="s">
        <v>74</v>
      </c>
      <c r="AU896">
        <v>2005</v>
      </c>
      <c r="AV896">
        <v>291</v>
      </c>
      <c r="AW896" t="s">
        <v>74</v>
      </c>
      <c r="AX896" t="s">
        <v>74</v>
      </c>
      <c r="AY896" t="s">
        <v>74</v>
      </c>
      <c r="AZ896" t="s">
        <v>74</v>
      </c>
      <c r="BA896" t="s">
        <v>74</v>
      </c>
      <c r="BB896">
        <v>103</v>
      </c>
      <c r="BC896">
        <v>113</v>
      </c>
      <c r="BD896" t="s">
        <v>74</v>
      </c>
      <c r="BE896" t="s">
        <v>12712</v>
      </c>
      <c r="BF896" t="str">
        <f>HYPERLINK("http://dx.doi.org/10.3354/meps291103","http://dx.doi.org/10.3354/meps291103")</f>
        <v>http://dx.doi.org/10.3354/meps291103</v>
      </c>
      <c r="BG896" t="s">
        <v>74</v>
      </c>
      <c r="BH896" t="s">
        <v>74</v>
      </c>
      <c r="BI896">
        <v>11</v>
      </c>
      <c r="BJ896" t="s">
        <v>12345</v>
      </c>
      <c r="BK896" t="s">
        <v>95</v>
      </c>
      <c r="BL896" t="s">
        <v>12346</v>
      </c>
      <c r="BM896" t="s">
        <v>12699</v>
      </c>
      <c r="BN896" t="s">
        <v>74</v>
      </c>
      <c r="BO896" t="s">
        <v>7638</v>
      </c>
      <c r="BP896" t="s">
        <v>74</v>
      </c>
      <c r="BQ896" t="s">
        <v>74</v>
      </c>
      <c r="BR896" t="s">
        <v>97</v>
      </c>
      <c r="BS896" t="s">
        <v>12713</v>
      </c>
      <c r="BT896" t="str">
        <f>HYPERLINK("https%3A%2F%2Fwww.webofscience.com%2Fwos%2Fwoscc%2Ffull-record%2FWOS:000229699400009","View Full Record in Web of Science")</f>
        <v>View Full Record in Web of Science</v>
      </c>
    </row>
    <row r="897" spans="1:72" x14ac:dyDescent="0.15">
      <c r="A897" t="s">
        <v>72</v>
      </c>
      <c r="B897" t="s">
        <v>12714</v>
      </c>
      <c r="C897" t="s">
        <v>74</v>
      </c>
      <c r="D897" t="s">
        <v>74</v>
      </c>
      <c r="E897" t="s">
        <v>74</v>
      </c>
      <c r="F897" t="s">
        <v>12714</v>
      </c>
      <c r="G897" t="s">
        <v>74</v>
      </c>
      <c r="H897" t="s">
        <v>74</v>
      </c>
      <c r="I897" t="s">
        <v>12715</v>
      </c>
      <c r="J897" t="s">
        <v>12328</v>
      </c>
      <c r="K897" t="s">
        <v>74</v>
      </c>
      <c r="L897" t="s">
        <v>74</v>
      </c>
      <c r="M897" t="s">
        <v>77</v>
      </c>
      <c r="N897" t="s">
        <v>78</v>
      </c>
      <c r="O897" t="s">
        <v>74</v>
      </c>
      <c r="P897" t="s">
        <v>74</v>
      </c>
      <c r="Q897" t="s">
        <v>74</v>
      </c>
      <c r="R897" t="s">
        <v>74</v>
      </c>
      <c r="S897" t="s">
        <v>74</v>
      </c>
      <c r="T897" t="s">
        <v>12716</v>
      </c>
      <c r="U897" t="s">
        <v>12717</v>
      </c>
      <c r="V897" t="s">
        <v>12718</v>
      </c>
      <c r="W897" t="s">
        <v>12719</v>
      </c>
      <c r="X897" t="s">
        <v>978</v>
      </c>
      <c r="Y897" t="s">
        <v>12720</v>
      </c>
      <c r="Z897" t="s">
        <v>12721</v>
      </c>
      <c r="AA897" t="s">
        <v>74</v>
      </c>
      <c r="AB897" t="s">
        <v>74</v>
      </c>
      <c r="AC897" t="s">
        <v>74</v>
      </c>
      <c r="AD897" t="s">
        <v>74</v>
      </c>
      <c r="AE897" t="s">
        <v>74</v>
      </c>
      <c r="AF897" t="s">
        <v>74</v>
      </c>
      <c r="AG897">
        <v>84</v>
      </c>
      <c r="AH897">
        <v>24</v>
      </c>
      <c r="AI897">
        <v>31</v>
      </c>
      <c r="AJ897">
        <v>0</v>
      </c>
      <c r="AK897">
        <v>25</v>
      </c>
      <c r="AL897" t="s">
        <v>12338</v>
      </c>
      <c r="AM897" t="s">
        <v>12339</v>
      </c>
      <c r="AN897" t="s">
        <v>12340</v>
      </c>
      <c r="AO897" t="s">
        <v>12341</v>
      </c>
      <c r="AP897" t="s">
        <v>12356</v>
      </c>
      <c r="AQ897" t="s">
        <v>74</v>
      </c>
      <c r="AR897" t="s">
        <v>12342</v>
      </c>
      <c r="AS897" t="s">
        <v>12343</v>
      </c>
      <c r="AT897" t="s">
        <v>74</v>
      </c>
      <c r="AU897">
        <v>2005</v>
      </c>
      <c r="AV897">
        <v>291</v>
      </c>
      <c r="AW897" t="s">
        <v>74</v>
      </c>
      <c r="AX897" t="s">
        <v>74</v>
      </c>
      <c r="AY897" t="s">
        <v>74</v>
      </c>
      <c r="AZ897" t="s">
        <v>74</v>
      </c>
      <c r="BA897" t="s">
        <v>74</v>
      </c>
      <c r="BB897">
        <v>275</v>
      </c>
      <c r="BC897">
        <v>287</v>
      </c>
      <c r="BD897" t="s">
        <v>74</v>
      </c>
      <c r="BE897" t="s">
        <v>12722</v>
      </c>
      <c r="BF897" t="str">
        <f>HYPERLINK("http://dx.doi.org/10.3354/meps291275","http://dx.doi.org/10.3354/meps291275")</f>
        <v>http://dx.doi.org/10.3354/meps291275</v>
      </c>
      <c r="BG897" t="s">
        <v>74</v>
      </c>
      <c r="BH897" t="s">
        <v>74</v>
      </c>
      <c r="BI897">
        <v>13</v>
      </c>
      <c r="BJ897" t="s">
        <v>12345</v>
      </c>
      <c r="BK897" t="s">
        <v>95</v>
      </c>
      <c r="BL897" t="s">
        <v>12346</v>
      </c>
      <c r="BM897" t="s">
        <v>12699</v>
      </c>
      <c r="BN897" t="s">
        <v>74</v>
      </c>
      <c r="BO897" t="s">
        <v>539</v>
      </c>
      <c r="BP897" t="s">
        <v>74</v>
      </c>
      <c r="BQ897" t="s">
        <v>74</v>
      </c>
      <c r="BR897" t="s">
        <v>97</v>
      </c>
      <c r="BS897" t="s">
        <v>12723</v>
      </c>
      <c r="BT897" t="str">
        <f>HYPERLINK("https%3A%2F%2Fwww.webofscience.com%2Fwos%2Fwoscc%2Ffull-record%2FWOS:000229699400024","View Full Record in Web of Science")</f>
        <v>View Full Record in Web of Science</v>
      </c>
    </row>
    <row r="898" spans="1:72" x14ac:dyDescent="0.15">
      <c r="A898" t="s">
        <v>72</v>
      </c>
      <c r="B898" t="s">
        <v>12724</v>
      </c>
      <c r="C898" t="s">
        <v>74</v>
      </c>
      <c r="D898" t="s">
        <v>74</v>
      </c>
      <c r="E898" t="s">
        <v>74</v>
      </c>
      <c r="F898" t="s">
        <v>12724</v>
      </c>
      <c r="G898" t="s">
        <v>74</v>
      </c>
      <c r="H898" t="s">
        <v>74</v>
      </c>
      <c r="I898" t="s">
        <v>12725</v>
      </c>
      <c r="J898" t="s">
        <v>12328</v>
      </c>
      <c r="K898" t="s">
        <v>74</v>
      </c>
      <c r="L898" t="s">
        <v>74</v>
      </c>
      <c r="M898" t="s">
        <v>77</v>
      </c>
      <c r="N898" t="s">
        <v>78</v>
      </c>
      <c r="O898" t="s">
        <v>74</v>
      </c>
      <c r="P898" t="s">
        <v>74</v>
      </c>
      <c r="Q898" t="s">
        <v>74</v>
      </c>
      <c r="R898" t="s">
        <v>74</v>
      </c>
      <c r="S898" t="s">
        <v>74</v>
      </c>
      <c r="T898" t="s">
        <v>12726</v>
      </c>
      <c r="U898" t="s">
        <v>12727</v>
      </c>
      <c r="V898" t="s">
        <v>12728</v>
      </c>
      <c r="W898" t="s">
        <v>12729</v>
      </c>
      <c r="X898" t="s">
        <v>12730</v>
      </c>
      <c r="Y898" t="s">
        <v>12731</v>
      </c>
      <c r="Z898" t="s">
        <v>12732</v>
      </c>
      <c r="AA898" t="s">
        <v>12733</v>
      </c>
      <c r="AB898" t="s">
        <v>74</v>
      </c>
      <c r="AC898" t="s">
        <v>74</v>
      </c>
      <c r="AD898" t="s">
        <v>74</v>
      </c>
      <c r="AE898" t="s">
        <v>74</v>
      </c>
      <c r="AF898" t="s">
        <v>74</v>
      </c>
      <c r="AG898">
        <v>58</v>
      </c>
      <c r="AH898">
        <v>63</v>
      </c>
      <c r="AI898">
        <v>65</v>
      </c>
      <c r="AJ898">
        <v>2</v>
      </c>
      <c r="AK898">
        <v>30</v>
      </c>
      <c r="AL898" t="s">
        <v>12338</v>
      </c>
      <c r="AM898" t="s">
        <v>12339</v>
      </c>
      <c r="AN898" t="s">
        <v>12340</v>
      </c>
      <c r="AO898" t="s">
        <v>12341</v>
      </c>
      <c r="AP898" t="s">
        <v>12356</v>
      </c>
      <c r="AQ898" t="s">
        <v>74</v>
      </c>
      <c r="AR898" t="s">
        <v>12342</v>
      </c>
      <c r="AS898" t="s">
        <v>12343</v>
      </c>
      <c r="AT898" t="s">
        <v>74</v>
      </c>
      <c r="AU898">
        <v>2005</v>
      </c>
      <c r="AV898">
        <v>290</v>
      </c>
      <c r="AW898" t="s">
        <v>74</v>
      </c>
      <c r="AX898" t="s">
        <v>74</v>
      </c>
      <c r="AY898" t="s">
        <v>74</v>
      </c>
      <c r="AZ898" t="s">
        <v>74</v>
      </c>
      <c r="BA898" t="s">
        <v>74</v>
      </c>
      <c r="BB898">
        <v>27</v>
      </c>
      <c r="BC898">
        <v>33</v>
      </c>
      <c r="BD898" t="s">
        <v>74</v>
      </c>
      <c r="BE898" t="s">
        <v>12734</v>
      </c>
      <c r="BF898" t="str">
        <f>HYPERLINK("http://dx.doi.org/10.3354/meps290027","http://dx.doi.org/10.3354/meps290027")</f>
        <v>http://dx.doi.org/10.3354/meps290027</v>
      </c>
      <c r="BG898" t="s">
        <v>74</v>
      </c>
      <c r="BH898" t="s">
        <v>74</v>
      </c>
      <c r="BI898">
        <v>7</v>
      </c>
      <c r="BJ898" t="s">
        <v>12345</v>
      </c>
      <c r="BK898" t="s">
        <v>95</v>
      </c>
      <c r="BL898" t="s">
        <v>12346</v>
      </c>
      <c r="BM898" t="s">
        <v>12735</v>
      </c>
      <c r="BN898" t="s">
        <v>74</v>
      </c>
      <c r="BO898" t="s">
        <v>539</v>
      </c>
      <c r="BP898" t="s">
        <v>74</v>
      </c>
      <c r="BQ898" t="s">
        <v>74</v>
      </c>
      <c r="BR898" t="s">
        <v>97</v>
      </c>
      <c r="BS898" t="s">
        <v>12736</v>
      </c>
      <c r="BT898" t="str">
        <f>HYPERLINK("https%3A%2F%2Fwww.webofscience.com%2Fwos%2Fwoscc%2Ffull-record%2FWOS:000229079800003","View Full Record in Web of Science")</f>
        <v>View Full Record in Web of Science</v>
      </c>
    </row>
    <row r="899" spans="1:72" x14ac:dyDescent="0.15">
      <c r="A899" t="s">
        <v>72</v>
      </c>
      <c r="B899" t="s">
        <v>12737</v>
      </c>
      <c r="C899" t="s">
        <v>74</v>
      </c>
      <c r="D899" t="s">
        <v>74</v>
      </c>
      <c r="E899" t="s">
        <v>74</v>
      </c>
      <c r="F899" t="s">
        <v>12737</v>
      </c>
      <c r="G899" t="s">
        <v>74</v>
      </c>
      <c r="H899" t="s">
        <v>74</v>
      </c>
      <c r="I899" t="s">
        <v>12738</v>
      </c>
      <c r="J899" t="s">
        <v>12328</v>
      </c>
      <c r="K899" t="s">
        <v>74</v>
      </c>
      <c r="L899" t="s">
        <v>74</v>
      </c>
      <c r="M899" t="s">
        <v>77</v>
      </c>
      <c r="N899" t="s">
        <v>78</v>
      </c>
      <c r="O899" t="s">
        <v>74</v>
      </c>
      <c r="P899" t="s">
        <v>74</v>
      </c>
      <c r="Q899" t="s">
        <v>74</v>
      </c>
      <c r="R899" t="s">
        <v>74</v>
      </c>
      <c r="S899" t="s">
        <v>74</v>
      </c>
      <c r="T899" t="s">
        <v>12739</v>
      </c>
      <c r="U899" t="s">
        <v>12740</v>
      </c>
      <c r="V899" t="s">
        <v>12741</v>
      </c>
      <c r="W899" t="s">
        <v>12742</v>
      </c>
      <c r="X899" t="s">
        <v>2735</v>
      </c>
      <c r="Y899" t="s">
        <v>12743</v>
      </c>
      <c r="Z899" t="s">
        <v>12744</v>
      </c>
      <c r="AA899" t="s">
        <v>74</v>
      </c>
      <c r="AB899" t="s">
        <v>74</v>
      </c>
      <c r="AC899" t="s">
        <v>74</v>
      </c>
      <c r="AD899" t="s">
        <v>74</v>
      </c>
      <c r="AE899" t="s">
        <v>74</v>
      </c>
      <c r="AF899" t="s">
        <v>74</v>
      </c>
      <c r="AG899">
        <v>33</v>
      </c>
      <c r="AH899">
        <v>28</v>
      </c>
      <c r="AI899">
        <v>31</v>
      </c>
      <c r="AJ899">
        <v>0</v>
      </c>
      <c r="AK899">
        <v>9</v>
      </c>
      <c r="AL899" t="s">
        <v>12338</v>
      </c>
      <c r="AM899" t="s">
        <v>12339</v>
      </c>
      <c r="AN899" t="s">
        <v>12340</v>
      </c>
      <c r="AO899" t="s">
        <v>12341</v>
      </c>
      <c r="AP899" t="s">
        <v>74</v>
      </c>
      <c r="AQ899" t="s">
        <v>74</v>
      </c>
      <c r="AR899" t="s">
        <v>12342</v>
      </c>
      <c r="AS899" t="s">
        <v>12343</v>
      </c>
      <c r="AT899" t="s">
        <v>74</v>
      </c>
      <c r="AU899">
        <v>2005</v>
      </c>
      <c r="AV899">
        <v>290</v>
      </c>
      <c r="AW899" t="s">
        <v>74</v>
      </c>
      <c r="AX899" t="s">
        <v>74</v>
      </c>
      <c r="AY899" t="s">
        <v>74</v>
      </c>
      <c r="AZ899" t="s">
        <v>74</v>
      </c>
      <c r="BA899" t="s">
        <v>74</v>
      </c>
      <c r="BB899">
        <v>135</v>
      </c>
      <c r="BC899">
        <v>143</v>
      </c>
      <c r="BD899" t="s">
        <v>74</v>
      </c>
      <c r="BE899" t="s">
        <v>12745</v>
      </c>
      <c r="BF899" t="str">
        <f>HYPERLINK("http://dx.doi.org/10.3354/meps290135","http://dx.doi.org/10.3354/meps290135")</f>
        <v>http://dx.doi.org/10.3354/meps290135</v>
      </c>
      <c r="BG899" t="s">
        <v>74</v>
      </c>
      <c r="BH899" t="s">
        <v>74</v>
      </c>
      <c r="BI899">
        <v>9</v>
      </c>
      <c r="BJ899" t="s">
        <v>12345</v>
      </c>
      <c r="BK899" t="s">
        <v>95</v>
      </c>
      <c r="BL899" t="s">
        <v>12346</v>
      </c>
      <c r="BM899" t="s">
        <v>12735</v>
      </c>
      <c r="BN899" t="s">
        <v>74</v>
      </c>
      <c r="BO899" t="s">
        <v>539</v>
      </c>
      <c r="BP899" t="s">
        <v>74</v>
      </c>
      <c r="BQ899" t="s">
        <v>74</v>
      </c>
      <c r="BR899" t="s">
        <v>97</v>
      </c>
      <c r="BS899" t="s">
        <v>12746</v>
      </c>
      <c r="BT899" t="str">
        <f>HYPERLINK("https%3A%2F%2Fwww.webofscience.com%2Fwos%2Fwoscc%2Ffull-record%2FWOS:000229079800012","View Full Record in Web of Science")</f>
        <v>View Full Record in Web of Science</v>
      </c>
    </row>
    <row r="900" spans="1:72" x14ac:dyDescent="0.15">
      <c r="A900" t="s">
        <v>72</v>
      </c>
      <c r="B900" t="s">
        <v>12747</v>
      </c>
      <c r="C900" t="s">
        <v>74</v>
      </c>
      <c r="D900" t="s">
        <v>74</v>
      </c>
      <c r="E900" t="s">
        <v>74</v>
      </c>
      <c r="F900" t="s">
        <v>12747</v>
      </c>
      <c r="G900" t="s">
        <v>74</v>
      </c>
      <c r="H900" t="s">
        <v>74</v>
      </c>
      <c r="I900" t="s">
        <v>12748</v>
      </c>
      <c r="J900" t="s">
        <v>12328</v>
      </c>
      <c r="K900" t="s">
        <v>74</v>
      </c>
      <c r="L900" t="s">
        <v>74</v>
      </c>
      <c r="M900" t="s">
        <v>77</v>
      </c>
      <c r="N900" t="s">
        <v>78</v>
      </c>
      <c r="O900" t="s">
        <v>74</v>
      </c>
      <c r="P900" t="s">
        <v>74</v>
      </c>
      <c r="Q900" t="s">
        <v>74</v>
      </c>
      <c r="R900" t="s">
        <v>74</v>
      </c>
      <c r="S900" t="s">
        <v>74</v>
      </c>
      <c r="T900" t="s">
        <v>12749</v>
      </c>
      <c r="U900" t="s">
        <v>12750</v>
      </c>
      <c r="V900" t="s">
        <v>12751</v>
      </c>
      <c r="W900" t="s">
        <v>12752</v>
      </c>
      <c r="X900" t="s">
        <v>12753</v>
      </c>
      <c r="Y900" t="s">
        <v>12754</v>
      </c>
      <c r="Z900" t="s">
        <v>12755</v>
      </c>
      <c r="AA900" t="s">
        <v>12756</v>
      </c>
      <c r="AB900" t="s">
        <v>12757</v>
      </c>
      <c r="AC900" t="s">
        <v>74</v>
      </c>
      <c r="AD900" t="s">
        <v>74</v>
      </c>
      <c r="AE900" t="s">
        <v>74</v>
      </c>
      <c r="AF900" t="s">
        <v>74</v>
      </c>
      <c r="AG900">
        <v>75</v>
      </c>
      <c r="AH900">
        <v>39</v>
      </c>
      <c r="AI900">
        <v>43</v>
      </c>
      <c r="AJ900">
        <v>0</v>
      </c>
      <c r="AK900">
        <v>11</v>
      </c>
      <c r="AL900" t="s">
        <v>12338</v>
      </c>
      <c r="AM900" t="s">
        <v>12339</v>
      </c>
      <c r="AN900" t="s">
        <v>12340</v>
      </c>
      <c r="AO900" t="s">
        <v>12341</v>
      </c>
      <c r="AP900" t="s">
        <v>12356</v>
      </c>
      <c r="AQ900" t="s">
        <v>74</v>
      </c>
      <c r="AR900" t="s">
        <v>12342</v>
      </c>
      <c r="AS900" t="s">
        <v>12343</v>
      </c>
      <c r="AT900" t="s">
        <v>74</v>
      </c>
      <c r="AU900">
        <v>2005</v>
      </c>
      <c r="AV900">
        <v>290</v>
      </c>
      <c r="AW900" t="s">
        <v>74</v>
      </c>
      <c r="AX900" t="s">
        <v>74</v>
      </c>
      <c r="AY900" t="s">
        <v>74</v>
      </c>
      <c r="AZ900" t="s">
        <v>74</v>
      </c>
      <c r="BA900" t="s">
        <v>74</v>
      </c>
      <c r="BB900">
        <v>277</v>
      </c>
      <c r="BC900">
        <v>290</v>
      </c>
      <c r="BD900" t="s">
        <v>74</v>
      </c>
      <c r="BE900" t="s">
        <v>12758</v>
      </c>
      <c r="BF900" t="str">
        <f>HYPERLINK("http://dx.doi.org/10.3354/meps290277","http://dx.doi.org/10.3354/meps290277")</f>
        <v>http://dx.doi.org/10.3354/meps290277</v>
      </c>
      <c r="BG900" t="s">
        <v>74</v>
      </c>
      <c r="BH900" t="s">
        <v>74</v>
      </c>
      <c r="BI900">
        <v>14</v>
      </c>
      <c r="BJ900" t="s">
        <v>12345</v>
      </c>
      <c r="BK900" t="s">
        <v>95</v>
      </c>
      <c r="BL900" t="s">
        <v>12346</v>
      </c>
      <c r="BM900" t="s">
        <v>12735</v>
      </c>
      <c r="BN900" t="s">
        <v>74</v>
      </c>
      <c r="BO900" t="s">
        <v>3093</v>
      </c>
      <c r="BP900" t="s">
        <v>74</v>
      </c>
      <c r="BQ900" t="s">
        <v>74</v>
      </c>
      <c r="BR900" t="s">
        <v>97</v>
      </c>
      <c r="BS900" t="s">
        <v>12759</v>
      </c>
      <c r="BT900" t="str">
        <f>HYPERLINK("https%3A%2F%2Fwww.webofscience.com%2Fwos%2Fwoscc%2Ffull-record%2FWOS:000229079800022","View Full Record in Web of Science")</f>
        <v>View Full Record in Web of Science</v>
      </c>
    </row>
    <row r="901" spans="1:72" x14ac:dyDescent="0.15">
      <c r="A901" t="s">
        <v>72</v>
      </c>
      <c r="B901" t="s">
        <v>12760</v>
      </c>
      <c r="C901" t="s">
        <v>74</v>
      </c>
      <c r="D901" t="s">
        <v>74</v>
      </c>
      <c r="E901" t="s">
        <v>74</v>
      </c>
      <c r="F901" t="s">
        <v>12760</v>
      </c>
      <c r="G901" t="s">
        <v>74</v>
      </c>
      <c r="H901" t="s">
        <v>74</v>
      </c>
      <c r="I901" t="s">
        <v>12761</v>
      </c>
      <c r="J901" t="s">
        <v>12328</v>
      </c>
      <c r="K901" t="s">
        <v>74</v>
      </c>
      <c r="L901" t="s">
        <v>74</v>
      </c>
      <c r="M901" t="s">
        <v>77</v>
      </c>
      <c r="N901" t="s">
        <v>78</v>
      </c>
      <c r="O901" t="s">
        <v>74</v>
      </c>
      <c r="P901" t="s">
        <v>74</v>
      </c>
      <c r="Q901" t="s">
        <v>74</v>
      </c>
      <c r="R901" t="s">
        <v>74</v>
      </c>
      <c r="S901" t="s">
        <v>74</v>
      </c>
      <c r="T901" t="s">
        <v>12762</v>
      </c>
      <c r="U901" t="s">
        <v>12763</v>
      </c>
      <c r="V901" t="s">
        <v>12764</v>
      </c>
      <c r="W901" t="s">
        <v>12765</v>
      </c>
      <c r="X901" t="s">
        <v>4903</v>
      </c>
      <c r="Y901" t="s">
        <v>12766</v>
      </c>
      <c r="Z901" t="s">
        <v>12767</v>
      </c>
      <c r="AA901" t="s">
        <v>935</v>
      </c>
      <c r="AB901" t="s">
        <v>12768</v>
      </c>
      <c r="AC901" t="s">
        <v>74</v>
      </c>
      <c r="AD901" t="s">
        <v>74</v>
      </c>
      <c r="AE901" t="s">
        <v>74</v>
      </c>
      <c r="AF901" t="s">
        <v>74</v>
      </c>
      <c r="AG901">
        <v>37</v>
      </c>
      <c r="AH901">
        <v>2</v>
      </c>
      <c r="AI901">
        <v>2</v>
      </c>
      <c r="AJ901">
        <v>1</v>
      </c>
      <c r="AK901">
        <v>4</v>
      </c>
      <c r="AL901" t="s">
        <v>12338</v>
      </c>
      <c r="AM901" t="s">
        <v>12339</v>
      </c>
      <c r="AN901" t="s">
        <v>12340</v>
      </c>
      <c r="AO901" t="s">
        <v>12341</v>
      </c>
      <c r="AP901" t="s">
        <v>74</v>
      </c>
      <c r="AQ901" t="s">
        <v>74</v>
      </c>
      <c r="AR901" t="s">
        <v>12342</v>
      </c>
      <c r="AS901" t="s">
        <v>12343</v>
      </c>
      <c r="AT901" t="s">
        <v>74</v>
      </c>
      <c r="AU901">
        <v>2005</v>
      </c>
      <c r="AV901">
        <v>289</v>
      </c>
      <c r="AW901" t="s">
        <v>74</v>
      </c>
      <c r="AX901" t="s">
        <v>74</v>
      </c>
      <c r="AY901" t="s">
        <v>74</v>
      </c>
      <c r="AZ901" t="s">
        <v>74</v>
      </c>
      <c r="BA901" t="s">
        <v>74</v>
      </c>
      <c r="BB901">
        <v>215</v>
      </c>
      <c r="BC901">
        <v>223</v>
      </c>
      <c r="BD901" t="s">
        <v>74</v>
      </c>
      <c r="BE901" t="s">
        <v>12769</v>
      </c>
      <c r="BF901" t="str">
        <f>HYPERLINK("http://dx.doi.org/10.3354/meps289215","http://dx.doi.org/10.3354/meps289215")</f>
        <v>http://dx.doi.org/10.3354/meps289215</v>
      </c>
      <c r="BG901" t="s">
        <v>74</v>
      </c>
      <c r="BH901" t="s">
        <v>74</v>
      </c>
      <c r="BI901">
        <v>9</v>
      </c>
      <c r="BJ901" t="s">
        <v>12345</v>
      </c>
      <c r="BK901" t="s">
        <v>95</v>
      </c>
      <c r="BL901" t="s">
        <v>12346</v>
      </c>
      <c r="BM901" t="s">
        <v>12770</v>
      </c>
      <c r="BN901" t="s">
        <v>74</v>
      </c>
      <c r="BO901" t="s">
        <v>7638</v>
      </c>
      <c r="BP901" t="s">
        <v>74</v>
      </c>
      <c r="BQ901" t="s">
        <v>74</v>
      </c>
      <c r="BR901" t="s">
        <v>97</v>
      </c>
      <c r="BS901" t="s">
        <v>12771</v>
      </c>
      <c r="BT901" t="str">
        <f>HYPERLINK("https%3A%2F%2Fwww.webofscience.com%2Fwos%2Fwoscc%2Ffull-record%2FWOS:000228927900019","View Full Record in Web of Science")</f>
        <v>View Full Record in Web of Science</v>
      </c>
    </row>
    <row r="902" spans="1:72" x14ac:dyDescent="0.15">
      <c r="A902" t="s">
        <v>72</v>
      </c>
      <c r="B902" t="s">
        <v>12772</v>
      </c>
      <c r="C902" t="s">
        <v>74</v>
      </c>
      <c r="D902" t="s">
        <v>74</v>
      </c>
      <c r="E902" t="s">
        <v>74</v>
      </c>
      <c r="F902" t="s">
        <v>12772</v>
      </c>
      <c r="G902" t="s">
        <v>74</v>
      </c>
      <c r="H902" t="s">
        <v>74</v>
      </c>
      <c r="I902" t="s">
        <v>12773</v>
      </c>
      <c r="J902" t="s">
        <v>12328</v>
      </c>
      <c r="K902" t="s">
        <v>74</v>
      </c>
      <c r="L902" t="s">
        <v>74</v>
      </c>
      <c r="M902" t="s">
        <v>77</v>
      </c>
      <c r="N902" t="s">
        <v>78</v>
      </c>
      <c r="O902" t="s">
        <v>74</v>
      </c>
      <c r="P902" t="s">
        <v>74</v>
      </c>
      <c r="Q902" t="s">
        <v>74</v>
      </c>
      <c r="R902" t="s">
        <v>74</v>
      </c>
      <c r="S902" t="s">
        <v>74</v>
      </c>
      <c r="T902" t="s">
        <v>12774</v>
      </c>
      <c r="U902" t="s">
        <v>12775</v>
      </c>
      <c r="V902" t="s">
        <v>12776</v>
      </c>
      <c r="W902" t="s">
        <v>12777</v>
      </c>
      <c r="X902" t="s">
        <v>12778</v>
      </c>
      <c r="Y902" t="s">
        <v>12779</v>
      </c>
      <c r="Z902" t="s">
        <v>12780</v>
      </c>
      <c r="AA902" t="s">
        <v>12781</v>
      </c>
      <c r="AB902" t="s">
        <v>12782</v>
      </c>
      <c r="AC902" t="s">
        <v>74</v>
      </c>
      <c r="AD902" t="s">
        <v>74</v>
      </c>
      <c r="AE902" t="s">
        <v>74</v>
      </c>
      <c r="AF902" t="s">
        <v>74</v>
      </c>
      <c r="AG902">
        <v>45</v>
      </c>
      <c r="AH902">
        <v>44</v>
      </c>
      <c r="AI902">
        <v>49</v>
      </c>
      <c r="AJ902">
        <v>1</v>
      </c>
      <c r="AK902">
        <v>9</v>
      </c>
      <c r="AL902" t="s">
        <v>12338</v>
      </c>
      <c r="AM902" t="s">
        <v>12339</v>
      </c>
      <c r="AN902" t="s">
        <v>12340</v>
      </c>
      <c r="AO902" t="s">
        <v>12341</v>
      </c>
      <c r="AP902" t="s">
        <v>12356</v>
      </c>
      <c r="AQ902" t="s">
        <v>74</v>
      </c>
      <c r="AR902" t="s">
        <v>12342</v>
      </c>
      <c r="AS902" t="s">
        <v>12343</v>
      </c>
      <c r="AT902" t="s">
        <v>74</v>
      </c>
      <c r="AU902">
        <v>2005</v>
      </c>
      <c r="AV902">
        <v>289</v>
      </c>
      <c r="AW902" t="s">
        <v>74</v>
      </c>
      <c r="AX902" t="s">
        <v>74</v>
      </c>
      <c r="AY902" t="s">
        <v>74</v>
      </c>
      <c r="AZ902" t="s">
        <v>74</v>
      </c>
      <c r="BA902" t="s">
        <v>74</v>
      </c>
      <c r="BB902">
        <v>225</v>
      </c>
      <c r="BC902">
        <v>235</v>
      </c>
      <c r="BD902" t="s">
        <v>74</v>
      </c>
      <c r="BE902" t="s">
        <v>12783</v>
      </c>
      <c r="BF902" t="str">
        <f>HYPERLINK("http://dx.doi.org/10.3354/meps289225","http://dx.doi.org/10.3354/meps289225")</f>
        <v>http://dx.doi.org/10.3354/meps289225</v>
      </c>
      <c r="BG902" t="s">
        <v>74</v>
      </c>
      <c r="BH902" t="s">
        <v>74</v>
      </c>
      <c r="BI902">
        <v>11</v>
      </c>
      <c r="BJ902" t="s">
        <v>12345</v>
      </c>
      <c r="BK902" t="s">
        <v>95</v>
      </c>
      <c r="BL902" t="s">
        <v>12346</v>
      </c>
      <c r="BM902" t="s">
        <v>12770</v>
      </c>
      <c r="BN902" t="s">
        <v>74</v>
      </c>
      <c r="BO902" t="s">
        <v>539</v>
      </c>
      <c r="BP902" t="s">
        <v>74</v>
      </c>
      <c r="BQ902" t="s">
        <v>74</v>
      </c>
      <c r="BR902" t="s">
        <v>97</v>
      </c>
      <c r="BS902" t="s">
        <v>12784</v>
      </c>
      <c r="BT902" t="str">
        <f>HYPERLINK("https%3A%2F%2Fwww.webofscience.com%2Fwos%2Fwoscc%2Ffull-record%2FWOS:000228927900020","View Full Record in Web of Science")</f>
        <v>View Full Record in Web of Science</v>
      </c>
    </row>
    <row r="903" spans="1:72" x14ac:dyDescent="0.15">
      <c r="A903" t="s">
        <v>72</v>
      </c>
      <c r="B903" t="s">
        <v>12785</v>
      </c>
      <c r="C903" t="s">
        <v>74</v>
      </c>
      <c r="D903" t="s">
        <v>74</v>
      </c>
      <c r="E903" t="s">
        <v>74</v>
      </c>
      <c r="F903" t="s">
        <v>12785</v>
      </c>
      <c r="G903" t="s">
        <v>74</v>
      </c>
      <c r="H903" t="s">
        <v>74</v>
      </c>
      <c r="I903" t="s">
        <v>12786</v>
      </c>
      <c r="J903" t="s">
        <v>12328</v>
      </c>
      <c r="K903" t="s">
        <v>74</v>
      </c>
      <c r="L903" t="s">
        <v>74</v>
      </c>
      <c r="M903" t="s">
        <v>77</v>
      </c>
      <c r="N903" t="s">
        <v>78</v>
      </c>
      <c r="O903" t="s">
        <v>74</v>
      </c>
      <c r="P903" t="s">
        <v>74</v>
      </c>
      <c r="Q903" t="s">
        <v>74</v>
      </c>
      <c r="R903" t="s">
        <v>74</v>
      </c>
      <c r="S903" t="s">
        <v>74</v>
      </c>
      <c r="T903" t="s">
        <v>12787</v>
      </c>
      <c r="U903" t="s">
        <v>12788</v>
      </c>
      <c r="V903" t="s">
        <v>12789</v>
      </c>
      <c r="W903" t="s">
        <v>12790</v>
      </c>
      <c r="X903" t="s">
        <v>12791</v>
      </c>
      <c r="Y903" t="s">
        <v>12792</v>
      </c>
      <c r="Z903" t="s">
        <v>12793</v>
      </c>
      <c r="AA903" t="s">
        <v>74</v>
      </c>
      <c r="AB903" t="s">
        <v>74</v>
      </c>
      <c r="AC903" t="s">
        <v>74</v>
      </c>
      <c r="AD903" t="s">
        <v>74</v>
      </c>
      <c r="AE903" t="s">
        <v>74</v>
      </c>
      <c r="AF903" t="s">
        <v>74</v>
      </c>
      <c r="AG903">
        <v>53</v>
      </c>
      <c r="AH903">
        <v>62</v>
      </c>
      <c r="AI903">
        <v>65</v>
      </c>
      <c r="AJ903">
        <v>0</v>
      </c>
      <c r="AK903">
        <v>17</v>
      </c>
      <c r="AL903" t="s">
        <v>12338</v>
      </c>
      <c r="AM903" t="s">
        <v>12339</v>
      </c>
      <c r="AN903" t="s">
        <v>12340</v>
      </c>
      <c r="AO903" t="s">
        <v>12341</v>
      </c>
      <c r="AP903" t="s">
        <v>12356</v>
      </c>
      <c r="AQ903" t="s">
        <v>74</v>
      </c>
      <c r="AR903" t="s">
        <v>12342</v>
      </c>
      <c r="AS903" t="s">
        <v>12343</v>
      </c>
      <c r="AT903" t="s">
        <v>74</v>
      </c>
      <c r="AU903">
        <v>2005</v>
      </c>
      <c r="AV903">
        <v>288</v>
      </c>
      <c r="AW903" t="s">
        <v>74</v>
      </c>
      <c r="AX903" t="s">
        <v>74</v>
      </c>
      <c r="AY903" t="s">
        <v>74</v>
      </c>
      <c r="AZ903" t="s">
        <v>74</v>
      </c>
      <c r="BA903" t="s">
        <v>74</v>
      </c>
      <c r="BB903">
        <v>9</v>
      </c>
      <c r="BC903">
        <v>19</v>
      </c>
      <c r="BD903" t="s">
        <v>74</v>
      </c>
      <c r="BE903" t="s">
        <v>12794</v>
      </c>
      <c r="BF903" t="str">
        <f>HYPERLINK("http://dx.doi.org/10.3354/meps288009","http://dx.doi.org/10.3354/meps288009")</f>
        <v>http://dx.doi.org/10.3354/meps288009</v>
      </c>
      <c r="BG903" t="s">
        <v>74</v>
      </c>
      <c r="BH903" t="s">
        <v>74</v>
      </c>
      <c r="BI903">
        <v>11</v>
      </c>
      <c r="BJ903" t="s">
        <v>12345</v>
      </c>
      <c r="BK903" t="s">
        <v>95</v>
      </c>
      <c r="BL903" t="s">
        <v>12346</v>
      </c>
      <c r="BM903" t="s">
        <v>12795</v>
      </c>
      <c r="BN903" t="s">
        <v>74</v>
      </c>
      <c r="BO903" t="s">
        <v>3093</v>
      </c>
      <c r="BP903" t="s">
        <v>74</v>
      </c>
      <c r="BQ903" t="s">
        <v>74</v>
      </c>
      <c r="BR903" t="s">
        <v>97</v>
      </c>
      <c r="BS903" t="s">
        <v>12796</v>
      </c>
      <c r="BT903" t="str">
        <f>HYPERLINK("https%3A%2F%2Fwww.webofscience.com%2Fwos%2Fwoscc%2Ffull-record%2FWOS:000228394400002","View Full Record in Web of Science")</f>
        <v>View Full Record in Web of Science</v>
      </c>
    </row>
    <row r="904" spans="1:72" x14ac:dyDescent="0.15">
      <c r="A904" t="s">
        <v>72</v>
      </c>
      <c r="B904" t="s">
        <v>12797</v>
      </c>
      <c r="C904" t="s">
        <v>74</v>
      </c>
      <c r="D904" t="s">
        <v>74</v>
      </c>
      <c r="E904" t="s">
        <v>74</v>
      </c>
      <c r="F904" t="s">
        <v>12797</v>
      </c>
      <c r="G904" t="s">
        <v>74</v>
      </c>
      <c r="H904" t="s">
        <v>74</v>
      </c>
      <c r="I904" t="s">
        <v>12798</v>
      </c>
      <c r="J904" t="s">
        <v>12328</v>
      </c>
      <c r="K904" t="s">
        <v>74</v>
      </c>
      <c r="L904" t="s">
        <v>74</v>
      </c>
      <c r="M904" t="s">
        <v>77</v>
      </c>
      <c r="N904" t="s">
        <v>78</v>
      </c>
      <c r="O904" t="s">
        <v>74</v>
      </c>
      <c r="P904" t="s">
        <v>74</v>
      </c>
      <c r="Q904" t="s">
        <v>74</v>
      </c>
      <c r="R904" t="s">
        <v>74</v>
      </c>
      <c r="S904" t="s">
        <v>74</v>
      </c>
      <c r="T904" t="s">
        <v>12799</v>
      </c>
      <c r="U904" t="s">
        <v>12800</v>
      </c>
      <c r="V904" t="s">
        <v>12801</v>
      </c>
      <c r="W904" t="s">
        <v>12802</v>
      </c>
      <c r="X904" t="s">
        <v>12803</v>
      </c>
      <c r="Y904" t="s">
        <v>12804</v>
      </c>
      <c r="Z904" t="s">
        <v>12805</v>
      </c>
      <c r="AA904" t="s">
        <v>12806</v>
      </c>
      <c r="AB904" t="s">
        <v>12807</v>
      </c>
      <c r="AC904" t="s">
        <v>74</v>
      </c>
      <c r="AD904" t="s">
        <v>74</v>
      </c>
      <c r="AE904" t="s">
        <v>74</v>
      </c>
      <c r="AF904" t="s">
        <v>74</v>
      </c>
      <c r="AG904">
        <v>53</v>
      </c>
      <c r="AH904">
        <v>75</v>
      </c>
      <c r="AI904">
        <v>87</v>
      </c>
      <c r="AJ904">
        <v>0</v>
      </c>
      <c r="AK904">
        <v>14</v>
      </c>
      <c r="AL904" t="s">
        <v>12338</v>
      </c>
      <c r="AM904" t="s">
        <v>12339</v>
      </c>
      <c r="AN904" t="s">
        <v>12340</v>
      </c>
      <c r="AO904" t="s">
        <v>12341</v>
      </c>
      <c r="AP904" t="s">
        <v>12356</v>
      </c>
      <c r="AQ904" t="s">
        <v>74</v>
      </c>
      <c r="AR904" t="s">
        <v>12342</v>
      </c>
      <c r="AS904" t="s">
        <v>12343</v>
      </c>
      <c r="AT904" t="s">
        <v>74</v>
      </c>
      <c r="AU904">
        <v>2005</v>
      </c>
      <c r="AV904">
        <v>288</v>
      </c>
      <c r="AW904" t="s">
        <v>74</v>
      </c>
      <c r="AX904" t="s">
        <v>74</v>
      </c>
      <c r="AY904" t="s">
        <v>74</v>
      </c>
      <c r="AZ904" t="s">
        <v>74</v>
      </c>
      <c r="BA904" t="s">
        <v>74</v>
      </c>
      <c r="BB904">
        <v>199</v>
      </c>
      <c r="BC904">
        <v>210</v>
      </c>
      <c r="BD904" t="s">
        <v>74</v>
      </c>
      <c r="BE904" t="s">
        <v>12808</v>
      </c>
      <c r="BF904" t="str">
        <f>HYPERLINK("http://dx.doi.org/10.3354/meps288199","http://dx.doi.org/10.3354/meps288199")</f>
        <v>http://dx.doi.org/10.3354/meps288199</v>
      </c>
      <c r="BG904" t="s">
        <v>74</v>
      </c>
      <c r="BH904" t="s">
        <v>74</v>
      </c>
      <c r="BI904">
        <v>12</v>
      </c>
      <c r="BJ904" t="s">
        <v>12345</v>
      </c>
      <c r="BK904" t="s">
        <v>95</v>
      </c>
      <c r="BL904" t="s">
        <v>12346</v>
      </c>
      <c r="BM904" t="s">
        <v>12795</v>
      </c>
      <c r="BN904" t="s">
        <v>74</v>
      </c>
      <c r="BO904" t="s">
        <v>539</v>
      </c>
      <c r="BP904" t="s">
        <v>74</v>
      </c>
      <c r="BQ904" t="s">
        <v>74</v>
      </c>
      <c r="BR904" t="s">
        <v>97</v>
      </c>
      <c r="BS904" t="s">
        <v>12809</v>
      </c>
      <c r="BT904" t="str">
        <f>HYPERLINK("https%3A%2F%2Fwww.webofscience.com%2Fwos%2Fwoscc%2Ffull-record%2FWOS:000228394400017","View Full Record in Web of Science")</f>
        <v>View Full Record in Web of Science</v>
      </c>
    </row>
    <row r="905" spans="1:72" x14ac:dyDescent="0.15">
      <c r="A905" t="s">
        <v>72</v>
      </c>
      <c r="B905" t="s">
        <v>12810</v>
      </c>
      <c r="C905" t="s">
        <v>74</v>
      </c>
      <c r="D905" t="s">
        <v>74</v>
      </c>
      <c r="E905" t="s">
        <v>74</v>
      </c>
      <c r="F905" t="s">
        <v>12810</v>
      </c>
      <c r="G905" t="s">
        <v>74</v>
      </c>
      <c r="H905" t="s">
        <v>74</v>
      </c>
      <c r="I905" t="s">
        <v>12811</v>
      </c>
      <c r="J905" t="s">
        <v>12328</v>
      </c>
      <c r="K905" t="s">
        <v>74</v>
      </c>
      <c r="L905" t="s">
        <v>74</v>
      </c>
      <c r="M905" t="s">
        <v>77</v>
      </c>
      <c r="N905" t="s">
        <v>78</v>
      </c>
      <c r="O905" t="s">
        <v>74</v>
      </c>
      <c r="P905" t="s">
        <v>74</v>
      </c>
      <c r="Q905" t="s">
        <v>74</v>
      </c>
      <c r="R905" t="s">
        <v>74</v>
      </c>
      <c r="S905" t="s">
        <v>74</v>
      </c>
      <c r="T905" t="s">
        <v>12812</v>
      </c>
      <c r="U905" t="s">
        <v>12813</v>
      </c>
      <c r="V905" t="s">
        <v>12814</v>
      </c>
      <c r="W905" t="s">
        <v>12815</v>
      </c>
      <c r="X905" t="s">
        <v>12816</v>
      </c>
      <c r="Y905" t="s">
        <v>12817</v>
      </c>
      <c r="Z905" t="s">
        <v>12818</v>
      </c>
      <c r="AA905" t="s">
        <v>12819</v>
      </c>
      <c r="AB905" t="s">
        <v>12820</v>
      </c>
      <c r="AC905" t="s">
        <v>74</v>
      </c>
      <c r="AD905" t="s">
        <v>74</v>
      </c>
      <c r="AE905" t="s">
        <v>74</v>
      </c>
      <c r="AF905" t="s">
        <v>74</v>
      </c>
      <c r="AG905">
        <v>61</v>
      </c>
      <c r="AH905">
        <v>62</v>
      </c>
      <c r="AI905">
        <v>63</v>
      </c>
      <c r="AJ905">
        <v>1</v>
      </c>
      <c r="AK905">
        <v>32</v>
      </c>
      <c r="AL905" t="s">
        <v>12338</v>
      </c>
      <c r="AM905" t="s">
        <v>12339</v>
      </c>
      <c r="AN905" t="s">
        <v>12340</v>
      </c>
      <c r="AO905" t="s">
        <v>12341</v>
      </c>
      <c r="AP905" t="s">
        <v>12356</v>
      </c>
      <c r="AQ905" t="s">
        <v>74</v>
      </c>
      <c r="AR905" t="s">
        <v>12342</v>
      </c>
      <c r="AS905" t="s">
        <v>12343</v>
      </c>
      <c r="AT905" t="s">
        <v>74</v>
      </c>
      <c r="AU905">
        <v>2005</v>
      </c>
      <c r="AV905">
        <v>288</v>
      </c>
      <c r="AW905" t="s">
        <v>74</v>
      </c>
      <c r="AX905" t="s">
        <v>74</v>
      </c>
      <c r="AY905" t="s">
        <v>74</v>
      </c>
      <c r="AZ905" t="s">
        <v>74</v>
      </c>
      <c r="BA905" t="s">
        <v>74</v>
      </c>
      <c r="BB905">
        <v>273</v>
      </c>
      <c r="BC905">
        <v>283</v>
      </c>
      <c r="BD905" t="s">
        <v>74</v>
      </c>
      <c r="BE905" t="s">
        <v>12821</v>
      </c>
      <c r="BF905" t="str">
        <f>HYPERLINK("http://dx.doi.org/10.3354/meps288273","http://dx.doi.org/10.3354/meps288273")</f>
        <v>http://dx.doi.org/10.3354/meps288273</v>
      </c>
      <c r="BG905" t="s">
        <v>74</v>
      </c>
      <c r="BH905" t="s">
        <v>74</v>
      </c>
      <c r="BI905">
        <v>11</v>
      </c>
      <c r="BJ905" t="s">
        <v>12345</v>
      </c>
      <c r="BK905" t="s">
        <v>95</v>
      </c>
      <c r="BL905" t="s">
        <v>12346</v>
      </c>
      <c r="BM905" t="s">
        <v>12795</v>
      </c>
      <c r="BN905" t="s">
        <v>74</v>
      </c>
      <c r="BO905" t="s">
        <v>539</v>
      </c>
      <c r="BP905" t="s">
        <v>74</v>
      </c>
      <c r="BQ905" t="s">
        <v>74</v>
      </c>
      <c r="BR905" t="s">
        <v>97</v>
      </c>
      <c r="BS905" t="s">
        <v>12822</v>
      </c>
      <c r="BT905" t="str">
        <f>HYPERLINK("https%3A%2F%2Fwww.webofscience.com%2Fwos%2Fwoscc%2Ffull-record%2FWOS:000228394400024","View Full Record in Web of Science")</f>
        <v>View Full Record in Web of Science</v>
      </c>
    </row>
    <row r="906" spans="1:72" x14ac:dyDescent="0.15">
      <c r="A906" t="s">
        <v>72</v>
      </c>
      <c r="B906" t="s">
        <v>12823</v>
      </c>
      <c r="C906" t="s">
        <v>74</v>
      </c>
      <c r="D906" t="s">
        <v>74</v>
      </c>
      <c r="E906" t="s">
        <v>74</v>
      </c>
      <c r="F906" t="s">
        <v>12823</v>
      </c>
      <c r="G906" t="s">
        <v>74</v>
      </c>
      <c r="H906" t="s">
        <v>74</v>
      </c>
      <c r="I906" t="s">
        <v>12824</v>
      </c>
      <c r="J906" t="s">
        <v>12328</v>
      </c>
      <c r="K906" t="s">
        <v>74</v>
      </c>
      <c r="L906" t="s">
        <v>74</v>
      </c>
      <c r="M906" t="s">
        <v>77</v>
      </c>
      <c r="N906" t="s">
        <v>78</v>
      </c>
      <c r="O906" t="s">
        <v>74</v>
      </c>
      <c r="P906" t="s">
        <v>74</v>
      </c>
      <c r="Q906" t="s">
        <v>74</v>
      </c>
      <c r="R906" t="s">
        <v>74</v>
      </c>
      <c r="S906" t="s">
        <v>74</v>
      </c>
      <c r="T906" t="s">
        <v>12825</v>
      </c>
      <c r="U906" t="s">
        <v>12826</v>
      </c>
      <c r="V906" t="s">
        <v>12827</v>
      </c>
      <c r="W906" t="s">
        <v>12828</v>
      </c>
      <c r="X906" t="s">
        <v>12829</v>
      </c>
      <c r="Y906" t="s">
        <v>6613</v>
      </c>
      <c r="Z906" t="s">
        <v>6614</v>
      </c>
      <c r="AA906" t="s">
        <v>74</v>
      </c>
      <c r="AB906" t="s">
        <v>74</v>
      </c>
      <c r="AC906" t="s">
        <v>74</v>
      </c>
      <c r="AD906" t="s">
        <v>74</v>
      </c>
      <c r="AE906" t="s">
        <v>74</v>
      </c>
      <c r="AF906" t="s">
        <v>74</v>
      </c>
      <c r="AG906">
        <v>67</v>
      </c>
      <c r="AH906">
        <v>12</v>
      </c>
      <c r="AI906">
        <v>12</v>
      </c>
      <c r="AJ906">
        <v>0</v>
      </c>
      <c r="AK906">
        <v>21</v>
      </c>
      <c r="AL906" t="s">
        <v>12338</v>
      </c>
      <c r="AM906" t="s">
        <v>12339</v>
      </c>
      <c r="AN906" t="s">
        <v>12340</v>
      </c>
      <c r="AO906" t="s">
        <v>12341</v>
      </c>
      <c r="AP906" t="s">
        <v>12356</v>
      </c>
      <c r="AQ906" t="s">
        <v>74</v>
      </c>
      <c r="AR906" t="s">
        <v>12342</v>
      </c>
      <c r="AS906" t="s">
        <v>12343</v>
      </c>
      <c r="AT906" t="s">
        <v>74</v>
      </c>
      <c r="AU906">
        <v>2005</v>
      </c>
      <c r="AV906">
        <v>285</v>
      </c>
      <c r="AW906" t="s">
        <v>74</v>
      </c>
      <c r="AX906" t="s">
        <v>74</v>
      </c>
      <c r="AY906" t="s">
        <v>74</v>
      </c>
      <c r="AZ906" t="s">
        <v>74</v>
      </c>
      <c r="BA906" t="s">
        <v>74</v>
      </c>
      <c r="BB906">
        <v>75</v>
      </c>
      <c r="BC906">
        <v>87</v>
      </c>
      <c r="BD906" t="s">
        <v>74</v>
      </c>
      <c r="BE906" t="s">
        <v>12830</v>
      </c>
      <c r="BF906" t="str">
        <f>HYPERLINK("http://dx.doi.org/10.3354/meps285075","http://dx.doi.org/10.3354/meps285075")</f>
        <v>http://dx.doi.org/10.3354/meps285075</v>
      </c>
      <c r="BG906" t="s">
        <v>74</v>
      </c>
      <c r="BH906" t="s">
        <v>74</v>
      </c>
      <c r="BI906">
        <v>13</v>
      </c>
      <c r="BJ906" t="s">
        <v>12345</v>
      </c>
      <c r="BK906" t="s">
        <v>95</v>
      </c>
      <c r="BL906" t="s">
        <v>12346</v>
      </c>
      <c r="BM906" t="s">
        <v>12831</v>
      </c>
      <c r="BN906" t="s">
        <v>74</v>
      </c>
      <c r="BO906" t="s">
        <v>539</v>
      </c>
      <c r="BP906" t="s">
        <v>74</v>
      </c>
      <c r="BQ906" t="s">
        <v>74</v>
      </c>
      <c r="BR906" t="s">
        <v>97</v>
      </c>
      <c r="BS906" t="s">
        <v>12832</v>
      </c>
      <c r="BT906" t="str">
        <f>HYPERLINK("https%3A%2F%2Fwww.webofscience.com%2Fwos%2Fwoscc%2Ffull-record%2FWOS:000227185300007","View Full Record in Web of Science")</f>
        <v>View Full Record in Web of Science</v>
      </c>
    </row>
    <row r="907" spans="1:72" x14ac:dyDescent="0.15">
      <c r="A907" t="s">
        <v>72</v>
      </c>
      <c r="B907" t="s">
        <v>12833</v>
      </c>
      <c r="C907" t="s">
        <v>74</v>
      </c>
      <c r="D907" t="s">
        <v>74</v>
      </c>
      <c r="E907" t="s">
        <v>74</v>
      </c>
      <c r="F907" t="s">
        <v>12833</v>
      </c>
      <c r="G907" t="s">
        <v>74</v>
      </c>
      <c r="H907" t="s">
        <v>74</v>
      </c>
      <c r="I907" t="s">
        <v>12834</v>
      </c>
      <c r="J907" t="s">
        <v>12328</v>
      </c>
      <c r="K907" t="s">
        <v>74</v>
      </c>
      <c r="L907" t="s">
        <v>74</v>
      </c>
      <c r="M907" t="s">
        <v>77</v>
      </c>
      <c r="N907" t="s">
        <v>78</v>
      </c>
      <c r="O907" t="s">
        <v>74</v>
      </c>
      <c r="P907" t="s">
        <v>74</v>
      </c>
      <c r="Q907" t="s">
        <v>74</v>
      </c>
      <c r="R907" t="s">
        <v>74</v>
      </c>
      <c r="S907" t="s">
        <v>74</v>
      </c>
      <c r="T907" t="s">
        <v>12835</v>
      </c>
      <c r="U907" t="s">
        <v>12836</v>
      </c>
      <c r="V907" t="s">
        <v>12837</v>
      </c>
      <c r="W907" t="s">
        <v>670</v>
      </c>
      <c r="X907" t="s">
        <v>671</v>
      </c>
      <c r="Y907" t="s">
        <v>230</v>
      </c>
      <c r="Z907" t="s">
        <v>12838</v>
      </c>
      <c r="AA907" t="s">
        <v>74</v>
      </c>
      <c r="AB907" t="s">
        <v>74</v>
      </c>
      <c r="AC907" t="s">
        <v>74</v>
      </c>
      <c r="AD907" t="s">
        <v>74</v>
      </c>
      <c r="AE907" t="s">
        <v>74</v>
      </c>
      <c r="AF907" t="s">
        <v>74</v>
      </c>
      <c r="AG907">
        <v>62</v>
      </c>
      <c r="AH907">
        <v>61</v>
      </c>
      <c r="AI907">
        <v>64</v>
      </c>
      <c r="AJ907">
        <v>0</v>
      </c>
      <c r="AK907">
        <v>24</v>
      </c>
      <c r="AL907" t="s">
        <v>12338</v>
      </c>
      <c r="AM907" t="s">
        <v>12339</v>
      </c>
      <c r="AN907" t="s">
        <v>12340</v>
      </c>
      <c r="AO907" t="s">
        <v>12341</v>
      </c>
      <c r="AP907" t="s">
        <v>12356</v>
      </c>
      <c r="AQ907" t="s">
        <v>74</v>
      </c>
      <c r="AR907" t="s">
        <v>12342</v>
      </c>
      <c r="AS907" t="s">
        <v>12343</v>
      </c>
      <c r="AT907" t="s">
        <v>74</v>
      </c>
      <c r="AU907">
        <v>2005</v>
      </c>
      <c r="AV907">
        <v>285</v>
      </c>
      <c r="AW907" t="s">
        <v>74</v>
      </c>
      <c r="AX907" t="s">
        <v>74</v>
      </c>
      <c r="AY907" t="s">
        <v>74</v>
      </c>
      <c r="AZ907" t="s">
        <v>74</v>
      </c>
      <c r="BA907" t="s">
        <v>74</v>
      </c>
      <c r="BB907">
        <v>259</v>
      </c>
      <c r="BC907">
        <v>270</v>
      </c>
      <c r="BD907" t="s">
        <v>74</v>
      </c>
      <c r="BE907" t="s">
        <v>12839</v>
      </c>
      <c r="BF907" t="str">
        <f>HYPERLINK("http://dx.doi.org/10.3354/meps285259","http://dx.doi.org/10.3354/meps285259")</f>
        <v>http://dx.doi.org/10.3354/meps285259</v>
      </c>
      <c r="BG907" t="s">
        <v>74</v>
      </c>
      <c r="BH907" t="s">
        <v>74</v>
      </c>
      <c r="BI907">
        <v>12</v>
      </c>
      <c r="BJ907" t="s">
        <v>12345</v>
      </c>
      <c r="BK907" t="s">
        <v>95</v>
      </c>
      <c r="BL907" t="s">
        <v>12346</v>
      </c>
      <c r="BM907" t="s">
        <v>12831</v>
      </c>
      <c r="BN907" t="s">
        <v>74</v>
      </c>
      <c r="BO907" t="s">
        <v>539</v>
      </c>
      <c r="BP907" t="s">
        <v>74</v>
      </c>
      <c r="BQ907" t="s">
        <v>74</v>
      </c>
      <c r="BR907" t="s">
        <v>97</v>
      </c>
      <c r="BS907" t="s">
        <v>12840</v>
      </c>
      <c r="BT907" t="str">
        <f>HYPERLINK("https%3A%2F%2Fwww.webofscience.com%2Fwos%2Fwoscc%2Ffull-record%2FWOS:000227185300024","View Full Record in Web of Science")</f>
        <v>View Full Record in Web of Science</v>
      </c>
    </row>
    <row r="908" spans="1:72" x14ac:dyDescent="0.15">
      <c r="A908" t="s">
        <v>72</v>
      </c>
      <c r="B908" t="s">
        <v>12841</v>
      </c>
      <c r="C908" t="s">
        <v>74</v>
      </c>
      <c r="D908" t="s">
        <v>74</v>
      </c>
      <c r="E908" t="s">
        <v>74</v>
      </c>
      <c r="F908" t="s">
        <v>12841</v>
      </c>
      <c r="G908" t="s">
        <v>74</v>
      </c>
      <c r="H908" t="s">
        <v>74</v>
      </c>
      <c r="I908" t="s">
        <v>12842</v>
      </c>
      <c r="J908" t="s">
        <v>6675</v>
      </c>
      <c r="K908" t="s">
        <v>74</v>
      </c>
      <c r="L908" t="s">
        <v>74</v>
      </c>
      <c r="M908" t="s">
        <v>77</v>
      </c>
      <c r="N908" t="s">
        <v>495</v>
      </c>
      <c r="O908" t="s">
        <v>12843</v>
      </c>
      <c r="P908" t="s">
        <v>12844</v>
      </c>
      <c r="Q908" t="s">
        <v>12845</v>
      </c>
      <c r="R908" t="s">
        <v>74</v>
      </c>
      <c r="S908" t="s">
        <v>74</v>
      </c>
      <c r="T908" t="s">
        <v>74</v>
      </c>
      <c r="U908" t="s">
        <v>12846</v>
      </c>
      <c r="V908" t="s">
        <v>12847</v>
      </c>
      <c r="W908" t="s">
        <v>12848</v>
      </c>
      <c r="X908" t="s">
        <v>12849</v>
      </c>
      <c r="Y908" t="s">
        <v>12850</v>
      </c>
      <c r="Z908" t="s">
        <v>12851</v>
      </c>
      <c r="AA908" t="s">
        <v>12852</v>
      </c>
      <c r="AB908" t="s">
        <v>12853</v>
      </c>
      <c r="AC908" t="s">
        <v>74</v>
      </c>
      <c r="AD908" t="s">
        <v>74</v>
      </c>
      <c r="AE908" t="s">
        <v>74</v>
      </c>
      <c r="AF908" t="s">
        <v>74</v>
      </c>
      <c r="AG908">
        <v>29</v>
      </c>
      <c r="AH908">
        <v>488</v>
      </c>
      <c r="AI908">
        <v>583</v>
      </c>
      <c r="AJ908">
        <v>16</v>
      </c>
      <c r="AK908">
        <v>389</v>
      </c>
      <c r="AL908" t="s">
        <v>255</v>
      </c>
      <c r="AM908" t="s">
        <v>256</v>
      </c>
      <c r="AN908" t="s">
        <v>257</v>
      </c>
      <c r="AO908" t="s">
        <v>6682</v>
      </c>
      <c r="AP908" t="s">
        <v>6683</v>
      </c>
      <c r="AQ908" t="s">
        <v>74</v>
      </c>
      <c r="AR908" t="s">
        <v>6684</v>
      </c>
      <c r="AS908" t="s">
        <v>6685</v>
      </c>
      <c r="AT908" t="s">
        <v>74</v>
      </c>
      <c r="AU908">
        <v>2005</v>
      </c>
      <c r="AV908">
        <v>51</v>
      </c>
      <c r="AW908" t="s">
        <v>12854</v>
      </c>
      <c r="AX908" t="s">
        <v>74</v>
      </c>
      <c r="AY908" t="s">
        <v>74</v>
      </c>
      <c r="AZ908" t="s">
        <v>74</v>
      </c>
      <c r="BA908" t="s">
        <v>74</v>
      </c>
      <c r="BB908">
        <v>658</v>
      </c>
      <c r="BC908">
        <v>668</v>
      </c>
      <c r="BD908" t="s">
        <v>74</v>
      </c>
      <c r="BE908" t="s">
        <v>12855</v>
      </c>
      <c r="BF908" t="str">
        <f>HYPERLINK("http://dx.doi.org/10.1016/j.marpolbul.2005.04.026","http://dx.doi.org/10.1016/j.marpolbul.2005.04.026")</f>
        <v>http://dx.doi.org/10.1016/j.marpolbul.2005.04.026</v>
      </c>
      <c r="BG908" t="s">
        <v>74</v>
      </c>
      <c r="BH908" t="s">
        <v>74</v>
      </c>
      <c r="BI908">
        <v>11</v>
      </c>
      <c r="BJ908" t="s">
        <v>4448</v>
      </c>
      <c r="BK908" t="s">
        <v>514</v>
      </c>
      <c r="BL908" t="s">
        <v>942</v>
      </c>
      <c r="BM908" t="s">
        <v>12856</v>
      </c>
      <c r="BN908">
        <v>15913661</v>
      </c>
      <c r="BO908" t="s">
        <v>74</v>
      </c>
      <c r="BP908" t="s">
        <v>74</v>
      </c>
      <c r="BQ908" t="s">
        <v>74</v>
      </c>
      <c r="BR908" t="s">
        <v>97</v>
      </c>
      <c r="BS908" t="s">
        <v>12857</v>
      </c>
      <c r="BT908" t="str">
        <f>HYPERLINK("https%3A%2F%2Fwww.webofscience.com%2Fwos%2Fwoscc%2Ffull-record%2FWOS:000234079700005","View Full Record in Web of Science")</f>
        <v>View Full Record in Web of Science</v>
      </c>
    </row>
    <row r="909" spans="1:72" x14ac:dyDescent="0.15">
      <c r="A909" t="s">
        <v>72</v>
      </c>
      <c r="B909" t="s">
        <v>541</v>
      </c>
      <c r="C909" t="s">
        <v>74</v>
      </c>
      <c r="D909" t="s">
        <v>74</v>
      </c>
      <c r="E909" t="s">
        <v>74</v>
      </c>
      <c r="F909" t="s">
        <v>541</v>
      </c>
      <c r="G909" t="s">
        <v>74</v>
      </c>
      <c r="H909" t="s">
        <v>74</v>
      </c>
      <c r="I909" t="s">
        <v>12858</v>
      </c>
      <c r="J909" t="s">
        <v>6675</v>
      </c>
      <c r="K909" t="s">
        <v>74</v>
      </c>
      <c r="L909" t="s">
        <v>74</v>
      </c>
      <c r="M909" t="s">
        <v>77</v>
      </c>
      <c r="N909" t="s">
        <v>5909</v>
      </c>
      <c r="O909" t="s">
        <v>74</v>
      </c>
      <c r="P909" t="s">
        <v>74</v>
      </c>
      <c r="Q909" t="s">
        <v>74</v>
      </c>
      <c r="R909" t="s">
        <v>74</v>
      </c>
      <c r="S909" t="s">
        <v>74</v>
      </c>
      <c r="T909" t="s">
        <v>74</v>
      </c>
      <c r="U909" t="s">
        <v>74</v>
      </c>
      <c r="V909" t="s">
        <v>74</v>
      </c>
      <c r="W909" t="s">
        <v>74</v>
      </c>
      <c r="X909" t="s">
        <v>74</v>
      </c>
      <c r="Y909" t="s">
        <v>74</v>
      </c>
      <c r="Z909" t="s">
        <v>74</v>
      </c>
      <c r="AA909" t="s">
        <v>74</v>
      </c>
      <c r="AB909" t="s">
        <v>74</v>
      </c>
      <c r="AC909" t="s">
        <v>74</v>
      </c>
      <c r="AD909" t="s">
        <v>74</v>
      </c>
      <c r="AE909" t="s">
        <v>74</v>
      </c>
      <c r="AF909" t="s">
        <v>74</v>
      </c>
      <c r="AG909">
        <v>0</v>
      </c>
      <c r="AH909">
        <v>0</v>
      </c>
      <c r="AI909">
        <v>0</v>
      </c>
      <c r="AJ909">
        <v>0</v>
      </c>
      <c r="AK909">
        <v>1</v>
      </c>
      <c r="AL909" t="s">
        <v>255</v>
      </c>
      <c r="AM909" t="s">
        <v>256</v>
      </c>
      <c r="AN909" t="s">
        <v>257</v>
      </c>
      <c r="AO909" t="s">
        <v>6682</v>
      </c>
      <c r="AP909" t="s">
        <v>6683</v>
      </c>
      <c r="AQ909" t="s">
        <v>74</v>
      </c>
      <c r="AR909" t="s">
        <v>6684</v>
      </c>
      <c r="AS909" t="s">
        <v>6685</v>
      </c>
      <c r="AT909" t="s">
        <v>9676</v>
      </c>
      <c r="AU909">
        <v>2005</v>
      </c>
      <c r="AV909">
        <v>50</v>
      </c>
      <c r="AW909">
        <v>1</v>
      </c>
      <c r="AX909" t="s">
        <v>74</v>
      </c>
      <c r="AY909" t="s">
        <v>74</v>
      </c>
      <c r="AZ909" t="s">
        <v>74</v>
      </c>
      <c r="BA909" t="s">
        <v>74</v>
      </c>
      <c r="BB909">
        <v>6</v>
      </c>
      <c r="BC909">
        <v>6</v>
      </c>
      <c r="BD909" t="s">
        <v>74</v>
      </c>
      <c r="BE909" t="s">
        <v>74</v>
      </c>
      <c r="BF909" t="s">
        <v>74</v>
      </c>
      <c r="BG909" t="s">
        <v>74</v>
      </c>
      <c r="BH909" t="s">
        <v>74</v>
      </c>
      <c r="BI909">
        <v>1</v>
      </c>
      <c r="BJ909" t="s">
        <v>4448</v>
      </c>
      <c r="BK909" t="s">
        <v>95</v>
      </c>
      <c r="BL909" t="s">
        <v>942</v>
      </c>
      <c r="BM909" t="s">
        <v>12859</v>
      </c>
      <c r="BN909" t="s">
        <v>74</v>
      </c>
      <c r="BO909" t="s">
        <v>74</v>
      </c>
      <c r="BP909" t="s">
        <v>74</v>
      </c>
      <c r="BQ909" t="s">
        <v>74</v>
      </c>
      <c r="BR909" t="s">
        <v>97</v>
      </c>
      <c r="BS909" t="s">
        <v>12860</v>
      </c>
      <c r="BT909" t="str">
        <f>HYPERLINK("https%3A%2F%2Fwww.webofscience.com%2Fwos%2Fwoscc%2Ffull-record%2FWOS:000226944900006","View Full Record in Web of Science")</f>
        <v>View Full Record in Web of Science</v>
      </c>
    </row>
    <row r="910" spans="1:72" x14ac:dyDescent="0.15">
      <c r="A910" t="s">
        <v>72</v>
      </c>
      <c r="B910" t="s">
        <v>12861</v>
      </c>
      <c r="C910" t="s">
        <v>74</v>
      </c>
      <c r="D910" t="s">
        <v>74</v>
      </c>
      <c r="E910" t="s">
        <v>74</v>
      </c>
      <c r="F910" t="s">
        <v>12861</v>
      </c>
      <c r="G910" t="s">
        <v>74</v>
      </c>
      <c r="H910" t="s">
        <v>74</v>
      </c>
      <c r="I910" t="s">
        <v>12862</v>
      </c>
      <c r="J910" t="s">
        <v>12863</v>
      </c>
      <c r="K910" t="s">
        <v>74</v>
      </c>
      <c r="L910" t="s">
        <v>74</v>
      </c>
      <c r="M910" t="s">
        <v>77</v>
      </c>
      <c r="N910" t="s">
        <v>78</v>
      </c>
      <c r="O910" t="s">
        <v>74</v>
      </c>
      <c r="P910" t="s">
        <v>74</v>
      </c>
      <c r="Q910" t="s">
        <v>74</v>
      </c>
      <c r="R910" t="s">
        <v>74</v>
      </c>
      <c r="S910" t="s">
        <v>74</v>
      </c>
      <c r="T910" t="s">
        <v>74</v>
      </c>
      <c r="U910" t="s">
        <v>12864</v>
      </c>
      <c r="V910" t="s">
        <v>12865</v>
      </c>
      <c r="W910" t="s">
        <v>12866</v>
      </c>
      <c r="X910" t="s">
        <v>12867</v>
      </c>
      <c r="Y910" t="s">
        <v>12868</v>
      </c>
      <c r="Z910" t="s">
        <v>12869</v>
      </c>
      <c r="AA910" t="s">
        <v>74</v>
      </c>
      <c r="AB910" t="s">
        <v>74</v>
      </c>
      <c r="AC910" t="s">
        <v>74</v>
      </c>
      <c r="AD910" t="s">
        <v>74</v>
      </c>
      <c r="AE910" t="s">
        <v>74</v>
      </c>
      <c r="AF910" t="s">
        <v>74</v>
      </c>
      <c r="AG910">
        <v>28</v>
      </c>
      <c r="AH910">
        <v>12</v>
      </c>
      <c r="AI910">
        <v>12</v>
      </c>
      <c r="AJ910">
        <v>0</v>
      </c>
      <c r="AK910">
        <v>2</v>
      </c>
      <c r="AL910" t="s">
        <v>12870</v>
      </c>
      <c r="AM910" t="s">
        <v>5588</v>
      </c>
      <c r="AN910" t="s">
        <v>12871</v>
      </c>
      <c r="AO910" t="s">
        <v>12872</v>
      </c>
      <c r="AP910" t="s">
        <v>74</v>
      </c>
      <c r="AQ910" t="s">
        <v>74</v>
      </c>
      <c r="AR910" t="s">
        <v>12873</v>
      </c>
      <c r="AS910" t="s">
        <v>12874</v>
      </c>
      <c r="AT910" t="s">
        <v>74</v>
      </c>
      <c r="AU910">
        <v>2005</v>
      </c>
      <c r="AV910">
        <v>14</v>
      </c>
      <c r="AW910">
        <v>6</v>
      </c>
      <c r="AX910" t="s">
        <v>74</v>
      </c>
      <c r="AY910" t="s">
        <v>74</v>
      </c>
      <c r="AZ910" t="s">
        <v>74</v>
      </c>
      <c r="BA910" t="s">
        <v>74</v>
      </c>
      <c r="BB910">
        <v>781</v>
      </c>
      <c r="BC910">
        <v>792</v>
      </c>
      <c r="BD910" t="s">
        <v>74</v>
      </c>
      <c r="BE910" t="s">
        <v>12875</v>
      </c>
      <c r="BF910" t="str">
        <f>HYPERLINK("http://dx.doi.org/10.1127/0941-2948/2005/0077","http://dx.doi.org/10.1127/0941-2948/2005/0077")</f>
        <v>http://dx.doi.org/10.1127/0941-2948/2005/0077</v>
      </c>
      <c r="BG910" t="s">
        <v>74</v>
      </c>
      <c r="BH910" t="s">
        <v>74</v>
      </c>
      <c r="BI910">
        <v>12</v>
      </c>
      <c r="BJ910" t="s">
        <v>401</v>
      </c>
      <c r="BK910" t="s">
        <v>95</v>
      </c>
      <c r="BL910" t="s">
        <v>401</v>
      </c>
      <c r="BM910" t="s">
        <v>12876</v>
      </c>
      <c r="BN910" t="s">
        <v>74</v>
      </c>
      <c r="BO910" t="s">
        <v>74</v>
      </c>
      <c r="BP910" t="s">
        <v>74</v>
      </c>
      <c r="BQ910" t="s">
        <v>74</v>
      </c>
      <c r="BR910" t="s">
        <v>97</v>
      </c>
      <c r="BS910" t="s">
        <v>12877</v>
      </c>
      <c r="BT910" t="str">
        <f>HYPERLINK("https%3A%2F%2Fwww.webofscience.com%2Fwos%2Fwoscc%2Ffull-record%2FWOS:000235122700011","View Full Record in Web of Science")</f>
        <v>View Full Record in Web of Science</v>
      </c>
    </row>
    <row r="911" spans="1:72" x14ac:dyDescent="0.15">
      <c r="A911" t="s">
        <v>72</v>
      </c>
      <c r="B911" t="s">
        <v>12878</v>
      </c>
      <c r="C911" t="s">
        <v>74</v>
      </c>
      <c r="D911" t="s">
        <v>74</v>
      </c>
      <c r="E911" t="s">
        <v>74</v>
      </c>
      <c r="F911" t="s">
        <v>12878</v>
      </c>
      <c r="G911" t="s">
        <v>74</v>
      </c>
      <c r="H911" t="s">
        <v>74</v>
      </c>
      <c r="I911" t="s">
        <v>12879</v>
      </c>
      <c r="J911" t="s">
        <v>12880</v>
      </c>
      <c r="K911" t="s">
        <v>74</v>
      </c>
      <c r="L911" t="s">
        <v>74</v>
      </c>
      <c r="M911" t="s">
        <v>77</v>
      </c>
      <c r="N911" t="s">
        <v>495</v>
      </c>
      <c r="O911" t="s">
        <v>12881</v>
      </c>
      <c r="P911" t="s">
        <v>12882</v>
      </c>
      <c r="Q911" t="s">
        <v>12883</v>
      </c>
      <c r="R911" t="s">
        <v>74</v>
      </c>
      <c r="S911" t="s">
        <v>74</v>
      </c>
      <c r="T911" t="s">
        <v>12884</v>
      </c>
      <c r="U911" t="s">
        <v>12885</v>
      </c>
      <c r="V911" t="s">
        <v>12886</v>
      </c>
      <c r="W911" t="s">
        <v>12887</v>
      </c>
      <c r="X911" t="s">
        <v>4051</v>
      </c>
      <c r="Y911" t="s">
        <v>12888</v>
      </c>
      <c r="Z911" t="s">
        <v>11621</v>
      </c>
      <c r="AA911" t="s">
        <v>12889</v>
      </c>
      <c r="AB911" t="s">
        <v>12890</v>
      </c>
      <c r="AC911" t="s">
        <v>74</v>
      </c>
      <c r="AD911" t="s">
        <v>74</v>
      </c>
      <c r="AE911" t="s">
        <v>74</v>
      </c>
      <c r="AF911" t="s">
        <v>74</v>
      </c>
      <c r="AG911">
        <v>48</v>
      </c>
      <c r="AH911">
        <v>28</v>
      </c>
      <c r="AI911">
        <v>29</v>
      </c>
      <c r="AJ911">
        <v>0</v>
      </c>
      <c r="AK911">
        <v>15</v>
      </c>
      <c r="AL911" t="s">
        <v>435</v>
      </c>
      <c r="AM911" t="s">
        <v>436</v>
      </c>
      <c r="AN911" t="s">
        <v>437</v>
      </c>
      <c r="AO911" t="s">
        <v>12891</v>
      </c>
      <c r="AP911" t="s">
        <v>12892</v>
      </c>
      <c r="AQ911" t="s">
        <v>74</v>
      </c>
      <c r="AR911" t="s">
        <v>12893</v>
      </c>
      <c r="AS911" t="s">
        <v>12894</v>
      </c>
      <c r="AT911" t="s">
        <v>9676</v>
      </c>
      <c r="AU911">
        <v>2005</v>
      </c>
      <c r="AV911">
        <v>79</v>
      </c>
      <c r="AW911" t="s">
        <v>442</v>
      </c>
      <c r="AX911" t="s">
        <v>74</v>
      </c>
      <c r="AY911" t="s">
        <v>74</v>
      </c>
      <c r="AZ911" t="s">
        <v>74</v>
      </c>
      <c r="BA911" t="s">
        <v>74</v>
      </c>
      <c r="BB911">
        <v>69</v>
      </c>
      <c r="BC911">
        <v>76</v>
      </c>
      <c r="BD911" t="s">
        <v>74</v>
      </c>
      <c r="BE911" t="s">
        <v>12895</v>
      </c>
      <c r="BF911" t="str">
        <f>HYPERLINK("http://dx.doi.org/10.1016/j.microc.2004.06.009","http://dx.doi.org/10.1016/j.microc.2004.06.009")</f>
        <v>http://dx.doi.org/10.1016/j.microc.2004.06.009</v>
      </c>
      <c r="BG911" t="s">
        <v>74</v>
      </c>
      <c r="BH911" t="s">
        <v>74</v>
      </c>
      <c r="BI911">
        <v>8</v>
      </c>
      <c r="BJ911" t="s">
        <v>8683</v>
      </c>
      <c r="BK911" t="s">
        <v>514</v>
      </c>
      <c r="BL911" t="s">
        <v>4061</v>
      </c>
      <c r="BM911" t="s">
        <v>12896</v>
      </c>
      <c r="BN911" t="s">
        <v>74</v>
      </c>
      <c r="BO911" t="s">
        <v>74</v>
      </c>
      <c r="BP911" t="s">
        <v>74</v>
      </c>
      <c r="BQ911" t="s">
        <v>74</v>
      </c>
      <c r="BR911" t="s">
        <v>97</v>
      </c>
      <c r="BS911" t="s">
        <v>12897</v>
      </c>
      <c r="BT911" t="str">
        <f>HYPERLINK("https%3A%2F%2Fwww.webofscience.com%2Fwos%2Fwoscc%2Ffull-record%2FWOS:000226907100014","View Full Record in Web of Science")</f>
        <v>View Full Record in Web of Science</v>
      </c>
    </row>
    <row r="912" spans="1:72" x14ac:dyDescent="0.15">
      <c r="A912" t="s">
        <v>72</v>
      </c>
      <c r="B912" t="s">
        <v>12898</v>
      </c>
      <c r="C912" t="s">
        <v>74</v>
      </c>
      <c r="D912" t="s">
        <v>74</v>
      </c>
      <c r="E912" t="s">
        <v>74</v>
      </c>
      <c r="F912" t="s">
        <v>12898</v>
      </c>
      <c r="G912" t="s">
        <v>74</v>
      </c>
      <c r="H912" t="s">
        <v>74</v>
      </c>
      <c r="I912" t="s">
        <v>12899</v>
      </c>
      <c r="J912" t="s">
        <v>12880</v>
      </c>
      <c r="K912" t="s">
        <v>74</v>
      </c>
      <c r="L912" t="s">
        <v>74</v>
      </c>
      <c r="M912" t="s">
        <v>77</v>
      </c>
      <c r="N912" t="s">
        <v>495</v>
      </c>
      <c r="O912" t="s">
        <v>12881</v>
      </c>
      <c r="P912" t="s">
        <v>12882</v>
      </c>
      <c r="Q912" t="s">
        <v>12883</v>
      </c>
      <c r="R912" t="s">
        <v>74</v>
      </c>
      <c r="S912" t="s">
        <v>74</v>
      </c>
      <c r="T912" t="s">
        <v>12900</v>
      </c>
      <c r="U912" t="s">
        <v>12901</v>
      </c>
      <c r="V912" t="s">
        <v>12902</v>
      </c>
      <c r="W912" t="s">
        <v>12903</v>
      </c>
      <c r="X912" t="s">
        <v>12904</v>
      </c>
      <c r="Y912" t="s">
        <v>12905</v>
      </c>
      <c r="Z912" t="s">
        <v>12906</v>
      </c>
      <c r="AA912" t="s">
        <v>12907</v>
      </c>
      <c r="AB912" t="s">
        <v>12908</v>
      </c>
      <c r="AC912" t="s">
        <v>74</v>
      </c>
      <c r="AD912" t="s">
        <v>74</v>
      </c>
      <c r="AE912" t="s">
        <v>74</v>
      </c>
      <c r="AF912" t="s">
        <v>74</v>
      </c>
      <c r="AG912">
        <v>31</v>
      </c>
      <c r="AH912">
        <v>70</v>
      </c>
      <c r="AI912">
        <v>81</v>
      </c>
      <c r="AJ912">
        <v>1</v>
      </c>
      <c r="AK912">
        <v>56</v>
      </c>
      <c r="AL912" t="s">
        <v>435</v>
      </c>
      <c r="AM912" t="s">
        <v>436</v>
      </c>
      <c r="AN912" t="s">
        <v>437</v>
      </c>
      <c r="AO912" t="s">
        <v>12891</v>
      </c>
      <c r="AP912" t="s">
        <v>12892</v>
      </c>
      <c r="AQ912" t="s">
        <v>74</v>
      </c>
      <c r="AR912" t="s">
        <v>12893</v>
      </c>
      <c r="AS912" t="s">
        <v>12894</v>
      </c>
      <c r="AT912" t="s">
        <v>9676</v>
      </c>
      <c r="AU912">
        <v>2005</v>
      </c>
      <c r="AV912">
        <v>79</v>
      </c>
      <c r="AW912" t="s">
        <v>442</v>
      </c>
      <c r="AX912" t="s">
        <v>74</v>
      </c>
      <c r="AY912" t="s">
        <v>74</v>
      </c>
      <c r="AZ912" t="s">
        <v>74</v>
      </c>
      <c r="BA912" t="s">
        <v>74</v>
      </c>
      <c r="BB912">
        <v>115</v>
      </c>
      <c r="BC912">
        <v>123</v>
      </c>
      <c r="BD912" t="s">
        <v>74</v>
      </c>
      <c r="BE912" t="s">
        <v>12909</v>
      </c>
      <c r="BF912" t="str">
        <f>HYPERLINK("http://dx.doi.org/10.1016/j.microc.2004.10.006","http://dx.doi.org/10.1016/j.microc.2004.10.006")</f>
        <v>http://dx.doi.org/10.1016/j.microc.2004.10.006</v>
      </c>
      <c r="BG912" t="s">
        <v>74</v>
      </c>
      <c r="BH912" t="s">
        <v>74</v>
      </c>
      <c r="BI912">
        <v>9</v>
      </c>
      <c r="BJ912" t="s">
        <v>8683</v>
      </c>
      <c r="BK912" t="s">
        <v>514</v>
      </c>
      <c r="BL912" t="s">
        <v>4061</v>
      </c>
      <c r="BM912" t="s">
        <v>12896</v>
      </c>
      <c r="BN912" t="s">
        <v>74</v>
      </c>
      <c r="BO912" t="s">
        <v>74</v>
      </c>
      <c r="BP912" t="s">
        <v>74</v>
      </c>
      <c r="BQ912" t="s">
        <v>74</v>
      </c>
      <c r="BR912" t="s">
        <v>97</v>
      </c>
      <c r="BS912" t="s">
        <v>12910</v>
      </c>
      <c r="BT912" t="str">
        <f>HYPERLINK("https%3A%2F%2Fwww.webofscience.com%2Fwos%2Fwoscc%2Ffull-record%2FWOS:000226907100021","View Full Record in Web of Science")</f>
        <v>View Full Record in Web of Science</v>
      </c>
    </row>
    <row r="913" spans="1:72" x14ac:dyDescent="0.15">
      <c r="A913" t="s">
        <v>8867</v>
      </c>
      <c r="B913" t="s">
        <v>12911</v>
      </c>
      <c r="C913" t="s">
        <v>74</v>
      </c>
      <c r="D913" t="s">
        <v>12912</v>
      </c>
      <c r="E913" t="s">
        <v>74</v>
      </c>
      <c r="F913" t="s">
        <v>12913</v>
      </c>
      <c r="G913" t="s">
        <v>74</v>
      </c>
      <c r="H913" t="s">
        <v>74</v>
      </c>
      <c r="I913" t="s">
        <v>12914</v>
      </c>
      <c r="J913" t="s">
        <v>12915</v>
      </c>
      <c r="K913" t="s">
        <v>12916</v>
      </c>
      <c r="L913" t="s">
        <v>74</v>
      </c>
      <c r="M913" t="s">
        <v>77</v>
      </c>
      <c r="N913" t="s">
        <v>8873</v>
      </c>
      <c r="O913" t="s">
        <v>12917</v>
      </c>
      <c r="P913" t="s">
        <v>12918</v>
      </c>
      <c r="Q913" t="s">
        <v>12919</v>
      </c>
      <c r="R913" t="s">
        <v>74</v>
      </c>
      <c r="S913" t="s">
        <v>12920</v>
      </c>
      <c r="T913" t="s">
        <v>74</v>
      </c>
      <c r="U913" t="s">
        <v>12921</v>
      </c>
      <c r="V913" t="s">
        <v>12922</v>
      </c>
      <c r="W913" t="s">
        <v>12923</v>
      </c>
      <c r="X913" t="s">
        <v>467</v>
      </c>
      <c r="Y913" t="s">
        <v>12924</v>
      </c>
      <c r="Z913" t="s">
        <v>74</v>
      </c>
      <c r="AA913" t="s">
        <v>74</v>
      </c>
      <c r="AB913" t="s">
        <v>74</v>
      </c>
      <c r="AC913" t="s">
        <v>74</v>
      </c>
      <c r="AD913" t="s">
        <v>74</v>
      </c>
      <c r="AE913" t="s">
        <v>74</v>
      </c>
      <c r="AF913" t="s">
        <v>74</v>
      </c>
      <c r="AG913">
        <v>67</v>
      </c>
      <c r="AH913">
        <v>0</v>
      </c>
      <c r="AI913">
        <v>0</v>
      </c>
      <c r="AJ913">
        <v>0</v>
      </c>
      <c r="AK913">
        <v>5</v>
      </c>
      <c r="AL913" t="s">
        <v>12925</v>
      </c>
      <c r="AM913" t="s">
        <v>12926</v>
      </c>
      <c r="AN913" t="s">
        <v>12927</v>
      </c>
      <c r="AO913" t="s">
        <v>12928</v>
      </c>
      <c r="AP913" t="s">
        <v>74</v>
      </c>
      <c r="AQ913" t="s">
        <v>74</v>
      </c>
      <c r="AR913" t="s">
        <v>12929</v>
      </c>
      <c r="AS913" t="s">
        <v>74</v>
      </c>
      <c r="AT913" t="s">
        <v>74</v>
      </c>
      <c r="AU913">
        <v>2005</v>
      </c>
      <c r="AV913">
        <v>110</v>
      </c>
      <c r="AW913" t="s">
        <v>74</v>
      </c>
      <c r="AX913" t="s">
        <v>74</v>
      </c>
      <c r="AY913" t="s">
        <v>74</v>
      </c>
      <c r="AZ913" t="s">
        <v>74</v>
      </c>
      <c r="BA913" t="s">
        <v>74</v>
      </c>
      <c r="BB913">
        <v>89</v>
      </c>
      <c r="BC913">
        <v>100</v>
      </c>
      <c r="BD913" t="s">
        <v>74</v>
      </c>
      <c r="BE913" t="s">
        <v>74</v>
      </c>
      <c r="BF913" t="s">
        <v>74</v>
      </c>
      <c r="BG913" t="s">
        <v>74</v>
      </c>
      <c r="BH913" t="s">
        <v>74</v>
      </c>
      <c r="BI913">
        <v>12</v>
      </c>
      <c r="BJ913" t="s">
        <v>12930</v>
      </c>
      <c r="BK913" t="s">
        <v>8890</v>
      </c>
      <c r="BL913" t="s">
        <v>12930</v>
      </c>
      <c r="BM913" t="s">
        <v>12931</v>
      </c>
      <c r="BN913" t="s">
        <v>74</v>
      </c>
      <c r="BO913" t="s">
        <v>74</v>
      </c>
      <c r="BP913" t="s">
        <v>74</v>
      </c>
      <c r="BQ913" t="s">
        <v>74</v>
      </c>
      <c r="BR913" t="s">
        <v>97</v>
      </c>
      <c r="BS913" t="s">
        <v>12932</v>
      </c>
      <c r="BT913" t="str">
        <f>HYPERLINK("https%3A%2F%2Fwww.webofscience.com%2Fwos%2Fwoscc%2Ffull-record%2FWOS:000237350000009","View Full Record in Web of Science")</f>
        <v>View Full Record in Web of Science</v>
      </c>
    </row>
    <row r="914" spans="1:72" x14ac:dyDescent="0.15">
      <c r="A914" t="s">
        <v>72</v>
      </c>
      <c r="B914" t="s">
        <v>12933</v>
      </c>
      <c r="C914" t="s">
        <v>74</v>
      </c>
      <c r="D914" t="s">
        <v>74</v>
      </c>
      <c r="E914" t="s">
        <v>74</v>
      </c>
      <c r="F914" t="s">
        <v>12933</v>
      </c>
      <c r="G914" t="s">
        <v>74</v>
      </c>
      <c r="H914" t="s">
        <v>74</v>
      </c>
      <c r="I914" t="s">
        <v>12934</v>
      </c>
      <c r="J914" t="s">
        <v>12935</v>
      </c>
      <c r="K914" t="s">
        <v>74</v>
      </c>
      <c r="L914" t="s">
        <v>74</v>
      </c>
      <c r="M914" t="s">
        <v>77</v>
      </c>
      <c r="N914" t="s">
        <v>78</v>
      </c>
      <c r="O914" t="s">
        <v>74</v>
      </c>
      <c r="P914" t="s">
        <v>74</v>
      </c>
      <c r="Q914" t="s">
        <v>74</v>
      </c>
      <c r="R914" t="s">
        <v>74</v>
      </c>
      <c r="S914" t="s">
        <v>74</v>
      </c>
      <c r="T914" t="s">
        <v>12936</v>
      </c>
      <c r="U914" t="s">
        <v>12937</v>
      </c>
      <c r="V914" t="s">
        <v>12938</v>
      </c>
      <c r="W914" t="s">
        <v>12939</v>
      </c>
      <c r="X914" t="s">
        <v>8366</v>
      </c>
      <c r="Y914" t="s">
        <v>12940</v>
      </c>
      <c r="Z914" t="s">
        <v>12941</v>
      </c>
      <c r="AA914" t="s">
        <v>12942</v>
      </c>
      <c r="AB914" t="s">
        <v>74</v>
      </c>
      <c r="AC914" t="s">
        <v>74</v>
      </c>
      <c r="AD914" t="s">
        <v>74</v>
      </c>
      <c r="AE914" t="s">
        <v>74</v>
      </c>
      <c r="AF914" t="s">
        <v>74</v>
      </c>
      <c r="AG914">
        <v>22</v>
      </c>
      <c r="AH914">
        <v>2</v>
      </c>
      <c r="AI914">
        <v>2</v>
      </c>
      <c r="AJ914">
        <v>0</v>
      </c>
      <c r="AK914">
        <v>51</v>
      </c>
      <c r="AL914" t="s">
        <v>12943</v>
      </c>
      <c r="AM914" t="s">
        <v>12944</v>
      </c>
      <c r="AN914" t="s">
        <v>12945</v>
      </c>
      <c r="AO914" t="s">
        <v>12946</v>
      </c>
      <c r="AP914" t="s">
        <v>12947</v>
      </c>
      <c r="AQ914" t="s">
        <v>74</v>
      </c>
      <c r="AR914" t="s">
        <v>12948</v>
      </c>
      <c r="AS914" t="s">
        <v>12949</v>
      </c>
      <c r="AT914" t="s">
        <v>74</v>
      </c>
      <c r="AU914">
        <v>2005</v>
      </c>
      <c r="AV914">
        <v>28</v>
      </c>
      <c r="AW914" t="s">
        <v>4012</v>
      </c>
      <c r="AX914" t="s">
        <v>74</v>
      </c>
      <c r="AY914" t="s">
        <v>74</v>
      </c>
      <c r="AZ914" t="s">
        <v>74</v>
      </c>
      <c r="BA914" t="s">
        <v>74</v>
      </c>
      <c r="BB914">
        <v>155</v>
      </c>
      <c r="BC914">
        <v>160</v>
      </c>
      <c r="BD914" t="s">
        <v>74</v>
      </c>
      <c r="BE914" t="s">
        <v>74</v>
      </c>
      <c r="BF914" t="s">
        <v>74</v>
      </c>
      <c r="BG914" t="s">
        <v>74</v>
      </c>
      <c r="BH914" t="s">
        <v>74</v>
      </c>
      <c r="BI914">
        <v>6</v>
      </c>
      <c r="BJ914" t="s">
        <v>682</v>
      </c>
      <c r="BK914" t="s">
        <v>95</v>
      </c>
      <c r="BL914" t="s">
        <v>683</v>
      </c>
      <c r="BM914" t="s">
        <v>12950</v>
      </c>
      <c r="BN914" t="s">
        <v>74</v>
      </c>
      <c r="BO914" t="s">
        <v>74</v>
      </c>
      <c r="BP914" t="s">
        <v>74</v>
      </c>
      <c r="BQ914" t="s">
        <v>74</v>
      </c>
      <c r="BR914" t="s">
        <v>97</v>
      </c>
      <c r="BS914" t="s">
        <v>12951</v>
      </c>
      <c r="BT914" t="str">
        <f>HYPERLINK("https%3A%2F%2Fwww.webofscience.com%2Fwos%2Fwoscc%2Ffull-record%2FWOS:000230715800003","View Full Record in Web of Science")</f>
        <v>View Full Record in Web of Science</v>
      </c>
    </row>
    <row r="915" spans="1:72" x14ac:dyDescent="0.15">
      <c r="A915" t="s">
        <v>8867</v>
      </c>
      <c r="B915" t="s">
        <v>967</v>
      </c>
      <c r="C915" t="s">
        <v>74</v>
      </c>
      <c r="D915" t="s">
        <v>12952</v>
      </c>
      <c r="E915" t="s">
        <v>74</v>
      </c>
      <c r="F915" t="s">
        <v>967</v>
      </c>
      <c r="G915" t="s">
        <v>74</v>
      </c>
      <c r="H915" t="s">
        <v>968</v>
      </c>
      <c r="I915" t="s">
        <v>12953</v>
      </c>
      <c r="J915" t="s">
        <v>12954</v>
      </c>
      <c r="K915" t="s">
        <v>12955</v>
      </c>
      <c r="L915" t="s">
        <v>74</v>
      </c>
      <c r="M915" t="s">
        <v>77</v>
      </c>
      <c r="N915" t="s">
        <v>8873</v>
      </c>
      <c r="O915" t="s">
        <v>12956</v>
      </c>
      <c r="P915" t="s">
        <v>12957</v>
      </c>
      <c r="Q915" t="s">
        <v>11332</v>
      </c>
      <c r="R915" t="s">
        <v>74</v>
      </c>
      <c r="S915" t="s">
        <v>74</v>
      </c>
      <c r="T915" t="s">
        <v>975</v>
      </c>
      <c r="U915" t="s">
        <v>12958</v>
      </c>
      <c r="V915" t="s">
        <v>12959</v>
      </c>
      <c r="W915" t="s">
        <v>977</v>
      </c>
      <c r="X915" t="s">
        <v>978</v>
      </c>
      <c r="Y915" t="s">
        <v>12960</v>
      </c>
      <c r="Z915" t="s">
        <v>74</v>
      </c>
      <c r="AA915" t="s">
        <v>74</v>
      </c>
      <c r="AB915" t="s">
        <v>74</v>
      </c>
      <c r="AC915" t="s">
        <v>74</v>
      </c>
      <c r="AD915" t="s">
        <v>74</v>
      </c>
      <c r="AE915" t="s">
        <v>74</v>
      </c>
      <c r="AF915" t="s">
        <v>74</v>
      </c>
      <c r="AG915">
        <v>38</v>
      </c>
      <c r="AH915">
        <v>1</v>
      </c>
      <c r="AI915">
        <v>2</v>
      </c>
      <c r="AJ915">
        <v>0</v>
      </c>
      <c r="AK915">
        <v>0</v>
      </c>
      <c r="AL915" t="s">
        <v>133</v>
      </c>
      <c r="AM915" t="s">
        <v>374</v>
      </c>
      <c r="AN915" t="s">
        <v>12961</v>
      </c>
      <c r="AO915" t="s">
        <v>74</v>
      </c>
      <c r="AP915" t="s">
        <v>74</v>
      </c>
      <c r="AQ915" t="s">
        <v>12962</v>
      </c>
      <c r="AR915" t="s">
        <v>12963</v>
      </c>
      <c r="AS915" t="s">
        <v>74</v>
      </c>
      <c r="AT915" t="s">
        <v>74</v>
      </c>
      <c r="AU915">
        <v>2005</v>
      </c>
      <c r="AV915">
        <v>209</v>
      </c>
      <c r="AW915" t="s">
        <v>74</v>
      </c>
      <c r="AX915" t="s">
        <v>74</v>
      </c>
      <c r="AY915" t="s">
        <v>74</v>
      </c>
      <c r="AZ915" t="s">
        <v>74</v>
      </c>
      <c r="BA915" t="s">
        <v>74</v>
      </c>
      <c r="BB915">
        <v>275</v>
      </c>
      <c r="BC915">
        <v>285</v>
      </c>
      <c r="BD915" t="s">
        <v>74</v>
      </c>
      <c r="BE915" t="s">
        <v>12964</v>
      </c>
      <c r="BF915" t="str">
        <f>HYPERLINK("http://dx.doi.org/10.1007/1-4020-3748-1_20","http://dx.doi.org/10.1007/1-4020-3748-1_20")</f>
        <v>http://dx.doi.org/10.1007/1-4020-3748-1_20</v>
      </c>
      <c r="BG915" t="s">
        <v>74</v>
      </c>
      <c r="BH915" t="s">
        <v>74</v>
      </c>
      <c r="BI915">
        <v>11</v>
      </c>
      <c r="BJ915" t="s">
        <v>853</v>
      </c>
      <c r="BK915" t="s">
        <v>8890</v>
      </c>
      <c r="BL915" t="s">
        <v>853</v>
      </c>
      <c r="BM915" t="s">
        <v>12965</v>
      </c>
      <c r="BN915" t="s">
        <v>74</v>
      </c>
      <c r="BO915" t="s">
        <v>74</v>
      </c>
      <c r="BP915" t="s">
        <v>74</v>
      </c>
      <c r="BQ915" t="s">
        <v>74</v>
      </c>
      <c r="BR915" t="s">
        <v>97</v>
      </c>
      <c r="BS915" t="s">
        <v>12966</v>
      </c>
      <c r="BT915" t="str">
        <f>HYPERLINK("https%3A%2F%2Fwww.webofscience.com%2Fwos%2Fwoscc%2Ffull-record%2FWOS:000235192500020","View Full Record in Web of Science")</f>
        <v>View Full Record in Web of Science</v>
      </c>
    </row>
    <row r="916" spans="1:72" x14ac:dyDescent="0.15">
      <c r="A916" t="s">
        <v>8867</v>
      </c>
      <c r="B916" t="s">
        <v>967</v>
      </c>
      <c r="C916" t="s">
        <v>74</v>
      </c>
      <c r="D916" t="s">
        <v>12952</v>
      </c>
      <c r="E916" t="s">
        <v>74</v>
      </c>
      <c r="F916" t="s">
        <v>967</v>
      </c>
      <c r="G916" t="s">
        <v>74</v>
      </c>
      <c r="H916" t="s">
        <v>12967</v>
      </c>
      <c r="I916" t="s">
        <v>12968</v>
      </c>
      <c r="J916" t="s">
        <v>12969</v>
      </c>
      <c r="K916" t="s">
        <v>12970</v>
      </c>
      <c r="L916" t="s">
        <v>74</v>
      </c>
      <c r="M916" t="s">
        <v>77</v>
      </c>
      <c r="N916" t="s">
        <v>8873</v>
      </c>
      <c r="O916" t="s">
        <v>12956</v>
      </c>
      <c r="P916" t="s">
        <v>12957</v>
      </c>
      <c r="Q916" t="s">
        <v>11332</v>
      </c>
      <c r="R916" t="s">
        <v>74</v>
      </c>
      <c r="S916" t="s">
        <v>74</v>
      </c>
      <c r="T916" t="s">
        <v>12971</v>
      </c>
      <c r="U916" t="s">
        <v>12972</v>
      </c>
      <c r="V916" t="s">
        <v>12973</v>
      </c>
      <c r="W916" t="s">
        <v>977</v>
      </c>
      <c r="X916" t="s">
        <v>978</v>
      </c>
      <c r="Y916" t="s">
        <v>12974</v>
      </c>
      <c r="Z916" t="s">
        <v>12975</v>
      </c>
      <c r="AA916" t="s">
        <v>12976</v>
      </c>
      <c r="AB916" t="s">
        <v>12977</v>
      </c>
      <c r="AC916" t="s">
        <v>74</v>
      </c>
      <c r="AD916" t="s">
        <v>74</v>
      </c>
      <c r="AE916" t="s">
        <v>74</v>
      </c>
      <c r="AF916" t="s">
        <v>74</v>
      </c>
      <c r="AG916">
        <v>21</v>
      </c>
      <c r="AH916">
        <v>3</v>
      </c>
      <c r="AI916">
        <v>5</v>
      </c>
      <c r="AJ916">
        <v>0</v>
      </c>
      <c r="AK916">
        <v>0</v>
      </c>
      <c r="AL916" t="s">
        <v>133</v>
      </c>
      <c r="AM916" t="s">
        <v>374</v>
      </c>
      <c r="AN916" t="s">
        <v>12961</v>
      </c>
      <c r="AO916" t="s">
        <v>12978</v>
      </c>
      <c r="AP916" t="s">
        <v>74</v>
      </c>
      <c r="AQ916" t="s">
        <v>12962</v>
      </c>
      <c r="AR916" t="s">
        <v>12979</v>
      </c>
      <c r="AS916" t="s">
        <v>74</v>
      </c>
      <c r="AT916" t="s">
        <v>74</v>
      </c>
      <c r="AU916">
        <v>2005</v>
      </c>
      <c r="AV916">
        <v>209</v>
      </c>
      <c r="AW916" t="s">
        <v>74</v>
      </c>
      <c r="AX916" t="s">
        <v>74</v>
      </c>
      <c r="AY916" t="s">
        <v>74</v>
      </c>
      <c r="AZ916" t="s">
        <v>74</v>
      </c>
      <c r="BA916" t="s">
        <v>74</v>
      </c>
      <c r="BB916">
        <v>297</v>
      </c>
      <c r="BC916">
        <v>306</v>
      </c>
      <c r="BD916" t="s">
        <v>74</v>
      </c>
      <c r="BE916" t="s">
        <v>12980</v>
      </c>
      <c r="BF916" t="str">
        <f>HYPERLINK("http://dx.doi.org/10.1007/1-4020-3748-1_23","http://dx.doi.org/10.1007/1-4020-3748-1_23")</f>
        <v>http://dx.doi.org/10.1007/1-4020-3748-1_23</v>
      </c>
      <c r="BG916" t="s">
        <v>74</v>
      </c>
      <c r="BH916" t="s">
        <v>74</v>
      </c>
      <c r="BI916">
        <v>10</v>
      </c>
      <c r="BJ916" t="s">
        <v>853</v>
      </c>
      <c r="BK916" t="s">
        <v>8890</v>
      </c>
      <c r="BL916" t="s">
        <v>853</v>
      </c>
      <c r="BM916" t="s">
        <v>12965</v>
      </c>
      <c r="BN916" t="s">
        <v>74</v>
      </c>
      <c r="BO916" t="s">
        <v>143</v>
      </c>
      <c r="BP916" t="s">
        <v>74</v>
      </c>
      <c r="BQ916" t="s">
        <v>74</v>
      </c>
      <c r="BR916" t="s">
        <v>97</v>
      </c>
      <c r="BS916" t="s">
        <v>12981</v>
      </c>
      <c r="BT916" t="str">
        <f>HYPERLINK("https%3A%2F%2Fwww.webofscience.com%2Fwos%2Fwoscc%2Ffull-record%2FWOS:000235192500023","View Full Record in Web of Science")</f>
        <v>View Full Record in Web of Science</v>
      </c>
    </row>
    <row r="917" spans="1:72" x14ac:dyDescent="0.15">
      <c r="A917" t="s">
        <v>72</v>
      </c>
      <c r="B917" t="s">
        <v>12982</v>
      </c>
      <c r="C917" t="s">
        <v>74</v>
      </c>
      <c r="D917" t="s">
        <v>74</v>
      </c>
      <c r="E917" t="s">
        <v>74</v>
      </c>
      <c r="F917" t="s">
        <v>12982</v>
      </c>
      <c r="G917" t="s">
        <v>74</v>
      </c>
      <c r="H917" t="s">
        <v>74</v>
      </c>
      <c r="I917" t="s">
        <v>12983</v>
      </c>
      <c r="J917" t="s">
        <v>12984</v>
      </c>
      <c r="K917" t="s">
        <v>74</v>
      </c>
      <c r="L917" t="s">
        <v>74</v>
      </c>
      <c r="M917" t="s">
        <v>77</v>
      </c>
      <c r="N917" t="s">
        <v>78</v>
      </c>
      <c r="O917" t="s">
        <v>74</v>
      </c>
      <c r="P917" t="s">
        <v>74</v>
      </c>
      <c r="Q917" t="s">
        <v>74</v>
      </c>
      <c r="R917" t="s">
        <v>74</v>
      </c>
      <c r="S917" t="s">
        <v>74</v>
      </c>
      <c r="T917" t="s">
        <v>74</v>
      </c>
      <c r="U917" t="s">
        <v>12985</v>
      </c>
      <c r="V917" t="s">
        <v>12986</v>
      </c>
      <c r="W917" t="s">
        <v>12987</v>
      </c>
      <c r="X917" t="s">
        <v>12988</v>
      </c>
      <c r="Y917" t="s">
        <v>12989</v>
      </c>
      <c r="Z917" t="s">
        <v>12990</v>
      </c>
      <c r="AA917" t="s">
        <v>12991</v>
      </c>
      <c r="AB917" t="s">
        <v>12992</v>
      </c>
      <c r="AC917" t="s">
        <v>74</v>
      </c>
      <c r="AD917" t="s">
        <v>74</v>
      </c>
      <c r="AE917" t="s">
        <v>74</v>
      </c>
      <c r="AF917" t="s">
        <v>74</v>
      </c>
      <c r="AG917">
        <v>38</v>
      </c>
      <c r="AH917">
        <v>38</v>
      </c>
      <c r="AI917">
        <v>38</v>
      </c>
      <c r="AJ917">
        <v>0</v>
      </c>
      <c r="AK917">
        <v>1</v>
      </c>
      <c r="AL917" t="s">
        <v>2353</v>
      </c>
      <c r="AM917" t="s">
        <v>2354</v>
      </c>
      <c r="AN917" t="s">
        <v>2355</v>
      </c>
      <c r="AO917" t="s">
        <v>12993</v>
      </c>
      <c r="AP917" t="s">
        <v>12994</v>
      </c>
      <c r="AQ917" t="s">
        <v>74</v>
      </c>
      <c r="AR917" t="s">
        <v>12995</v>
      </c>
      <c r="AS917" t="s">
        <v>12996</v>
      </c>
      <c r="AT917" t="s">
        <v>74</v>
      </c>
      <c r="AU917">
        <v>2005</v>
      </c>
      <c r="AV917">
        <v>12</v>
      </c>
      <c r="AW917">
        <v>6</v>
      </c>
      <c r="AX917" t="s">
        <v>74</v>
      </c>
      <c r="AY917" t="s">
        <v>74</v>
      </c>
      <c r="AZ917" t="s">
        <v>74</v>
      </c>
      <c r="BA917" t="s">
        <v>74</v>
      </c>
      <c r="BB917">
        <v>767</v>
      </c>
      <c r="BC917">
        <v>774</v>
      </c>
      <c r="BD917" t="s">
        <v>74</v>
      </c>
      <c r="BE917" t="s">
        <v>12997</v>
      </c>
      <c r="BF917" t="str">
        <f>HYPERLINK("http://dx.doi.org/10.5194/npg-12-767-2005","http://dx.doi.org/10.5194/npg-12-767-2005")</f>
        <v>http://dx.doi.org/10.5194/npg-12-767-2005</v>
      </c>
      <c r="BG917" t="s">
        <v>74</v>
      </c>
      <c r="BH917" t="s">
        <v>74</v>
      </c>
      <c r="BI917">
        <v>8</v>
      </c>
      <c r="BJ917" t="s">
        <v>12998</v>
      </c>
      <c r="BK917" t="s">
        <v>95</v>
      </c>
      <c r="BL917" t="s">
        <v>12999</v>
      </c>
      <c r="BM917" t="s">
        <v>13000</v>
      </c>
      <c r="BN917" t="s">
        <v>74</v>
      </c>
      <c r="BO917" t="s">
        <v>1762</v>
      </c>
      <c r="BP917" t="s">
        <v>74</v>
      </c>
      <c r="BQ917" t="s">
        <v>74</v>
      </c>
      <c r="BR917" t="s">
        <v>97</v>
      </c>
      <c r="BS917" t="s">
        <v>13001</v>
      </c>
      <c r="BT917" t="str">
        <f>HYPERLINK("https%3A%2F%2Fwww.webofscience.com%2Fwos%2Fwoscc%2Ffull-record%2FWOS:000234749600001","View Full Record in Web of Science")</f>
        <v>View Full Record in Web of Science</v>
      </c>
    </row>
    <row r="918" spans="1:72" x14ac:dyDescent="0.15">
      <c r="A918" t="s">
        <v>72</v>
      </c>
      <c r="B918" t="s">
        <v>13002</v>
      </c>
      <c r="C918" t="s">
        <v>74</v>
      </c>
      <c r="D918" t="s">
        <v>74</v>
      </c>
      <c r="E918" t="s">
        <v>74</v>
      </c>
      <c r="F918" t="s">
        <v>13002</v>
      </c>
      <c r="G918" t="s">
        <v>74</v>
      </c>
      <c r="H918" t="s">
        <v>968</v>
      </c>
      <c r="I918" t="s">
        <v>13003</v>
      </c>
      <c r="J918" t="s">
        <v>2102</v>
      </c>
      <c r="K918" t="s">
        <v>74</v>
      </c>
      <c r="L918" t="s">
        <v>74</v>
      </c>
      <c r="M918" t="s">
        <v>77</v>
      </c>
      <c r="N918" t="s">
        <v>495</v>
      </c>
      <c r="O918" t="s">
        <v>13004</v>
      </c>
      <c r="P918" t="s">
        <v>13005</v>
      </c>
      <c r="Q918" t="s">
        <v>13006</v>
      </c>
      <c r="R918" t="s">
        <v>74</v>
      </c>
      <c r="S918" t="s">
        <v>74</v>
      </c>
      <c r="T918" t="s">
        <v>74</v>
      </c>
      <c r="U918" t="s">
        <v>13007</v>
      </c>
      <c r="V918" t="s">
        <v>13008</v>
      </c>
      <c r="W918" t="s">
        <v>977</v>
      </c>
      <c r="X918" t="s">
        <v>978</v>
      </c>
      <c r="Y918" t="s">
        <v>13009</v>
      </c>
      <c r="Z918" t="s">
        <v>74</v>
      </c>
      <c r="AA918" t="s">
        <v>74</v>
      </c>
      <c r="AB918" t="s">
        <v>74</v>
      </c>
      <c r="AC918" t="s">
        <v>74</v>
      </c>
      <c r="AD918" t="s">
        <v>74</v>
      </c>
      <c r="AE918" t="s">
        <v>74</v>
      </c>
      <c r="AF918" t="s">
        <v>74</v>
      </c>
      <c r="AG918">
        <v>16</v>
      </c>
      <c r="AH918">
        <v>0</v>
      </c>
      <c r="AI918">
        <v>0</v>
      </c>
      <c r="AJ918">
        <v>0</v>
      </c>
      <c r="AK918">
        <v>0</v>
      </c>
      <c r="AL918" t="s">
        <v>435</v>
      </c>
      <c r="AM918" t="s">
        <v>436</v>
      </c>
      <c r="AN918" t="s">
        <v>437</v>
      </c>
      <c r="AO918" t="s">
        <v>2110</v>
      </c>
      <c r="AP918" t="s">
        <v>2111</v>
      </c>
      <c r="AQ918" t="s">
        <v>74</v>
      </c>
      <c r="AR918" t="s">
        <v>2112</v>
      </c>
      <c r="AS918" t="s">
        <v>2113</v>
      </c>
      <c r="AT918" t="s">
        <v>9676</v>
      </c>
      <c r="AU918">
        <v>2005</v>
      </c>
      <c r="AV918">
        <v>138</v>
      </c>
      <c r="AW918" t="s">
        <v>74</v>
      </c>
      <c r="AX918" t="s">
        <v>74</v>
      </c>
      <c r="AY918" t="s">
        <v>74</v>
      </c>
      <c r="AZ918" t="s">
        <v>74</v>
      </c>
      <c r="BA918" t="s">
        <v>74</v>
      </c>
      <c r="BB918">
        <v>171</v>
      </c>
      <c r="BC918">
        <v>174</v>
      </c>
      <c r="BD918" t="s">
        <v>74</v>
      </c>
      <c r="BE918" t="s">
        <v>13010</v>
      </c>
      <c r="BF918" t="str">
        <f>HYPERLINK("http://dx.doi.org/10.1016/j.nuclphysbps.2004.11.040","http://dx.doi.org/10.1016/j.nuclphysbps.2004.11.040")</f>
        <v>http://dx.doi.org/10.1016/j.nuclphysbps.2004.11.040</v>
      </c>
      <c r="BG918" t="s">
        <v>74</v>
      </c>
      <c r="BH918" t="s">
        <v>74</v>
      </c>
      <c r="BI918">
        <v>4</v>
      </c>
      <c r="BJ918" t="s">
        <v>2115</v>
      </c>
      <c r="BK918" t="s">
        <v>514</v>
      </c>
      <c r="BL918" t="s">
        <v>990</v>
      </c>
      <c r="BM918" t="s">
        <v>13011</v>
      </c>
      <c r="BN918" t="s">
        <v>74</v>
      </c>
      <c r="BO918" t="s">
        <v>74</v>
      </c>
      <c r="BP918" t="s">
        <v>74</v>
      </c>
      <c r="BQ918" t="s">
        <v>74</v>
      </c>
      <c r="BR918" t="s">
        <v>97</v>
      </c>
      <c r="BS918" t="s">
        <v>13012</v>
      </c>
      <c r="BT918" t="str">
        <f>HYPERLINK("https%3A%2F%2Fwww.webofscience.com%2Fwos%2Fwoscc%2Ffull-record%2FWOS:000226845100040","View Full Record in Web of Science")</f>
        <v>View Full Record in Web of Science</v>
      </c>
    </row>
    <row r="919" spans="1:72" x14ac:dyDescent="0.15">
      <c r="A919" t="s">
        <v>72</v>
      </c>
      <c r="B919" t="s">
        <v>13013</v>
      </c>
      <c r="C919" t="s">
        <v>74</v>
      </c>
      <c r="D919" t="s">
        <v>74</v>
      </c>
      <c r="E919" t="s">
        <v>74</v>
      </c>
      <c r="F919" t="s">
        <v>13013</v>
      </c>
      <c r="G919" t="s">
        <v>74</v>
      </c>
      <c r="H919" t="s">
        <v>74</v>
      </c>
      <c r="I919" t="s">
        <v>13014</v>
      </c>
      <c r="J919" t="s">
        <v>13015</v>
      </c>
      <c r="K919" t="s">
        <v>74</v>
      </c>
      <c r="L919" t="s">
        <v>74</v>
      </c>
      <c r="M919" t="s">
        <v>77</v>
      </c>
      <c r="N919" t="s">
        <v>78</v>
      </c>
      <c r="O919" t="s">
        <v>74</v>
      </c>
      <c r="P919" t="s">
        <v>74</v>
      </c>
      <c r="Q919" t="s">
        <v>74</v>
      </c>
      <c r="R919" t="s">
        <v>74</v>
      </c>
      <c r="S919" t="s">
        <v>74</v>
      </c>
      <c r="T919" t="s">
        <v>74</v>
      </c>
      <c r="U919" t="s">
        <v>74</v>
      </c>
      <c r="V919" t="s">
        <v>13016</v>
      </c>
      <c r="W919" t="s">
        <v>2950</v>
      </c>
      <c r="X919" t="s">
        <v>2951</v>
      </c>
      <c r="Y919" t="s">
        <v>2952</v>
      </c>
      <c r="Z919" t="s">
        <v>13017</v>
      </c>
      <c r="AA919" t="s">
        <v>74</v>
      </c>
      <c r="AB919" t="s">
        <v>74</v>
      </c>
      <c r="AC919" t="s">
        <v>74</v>
      </c>
      <c r="AD919" t="s">
        <v>74</v>
      </c>
      <c r="AE919" t="s">
        <v>74</v>
      </c>
      <c r="AF919" t="s">
        <v>74</v>
      </c>
      <c r="AG919">
        <v>30</v>
      </c>
      <c r="AH919">
        <v>10</v>
      </c>
      <c r="AI919">
        <v>13</v>
      </c>
      <c r="AJ919">
        <v>0</v>
      </c>
      <c r="AK919">
        <v>17</v>
      </c>
      <c r="AL919" t="s">
        <v>2232</v>
      </c>
      <c r="AM919" t="s">
        <v>256</v>
      </c>
      <c r="AN919" t="s">
        <v>2233</v>
      </c>
      <c r="AO919" t="s">
        <v>13018</v>
      </c>
      <c r="AP919" t="s">
        <v>13019</v>
      </c>
      <c r="AQ919" t="s">
        <v>74</v>
      </c>
      <c r="AR919" t="s">
        <v>13020</v>
      </c>
      <c r="AS919" t="s">
        <v>13021</v>
      </c>
      <c r="AT919" t="s">
        <v>74</v>
      </c>
      <c r="AU919">
        <v>2005</v>
      </c>
      <c r="AV919">
        <v>48</v>
      </c>
      <c r="AW919" t="s">
        <v>10240</v>
      </c>
      <c r="AX919" t="s">
        <v>74</v>
      </c>
      <c r="AY919" t="s">
        <v>74</v>
      </c>
      <c r="AZ919" t="s">
        <v>74</v>
      </c>
      <c r="BA919" t="s">
        <v>74</v>
      </c>
      <c r="BB919">
        <v>782</v>
      </c>
      <c r="BC919">
        <v>812</v>
      </c>
      <c r="BD919" t="s">
        <v>74</v>
      </c>
      <c r="BE919" t="s">
        <v>13022</v>
      </c>
      <c r="BF919" t="str">
        <f>HYPERLINK("http://dx.doi.org/10.1016/j.ocecoaman.2005.08.004","http://dx.doi.org/10.1016/j.ocecoaman.2005.08.004")</f>
        <v>http://dx.doi.org/10.1016/j.ocecoaman.2005.08.004</v>
      </c>
      <c r="BG919" t="s">
        <v>74</v>
      </c>
      <c r="BH919" t="s">
        <v>74</v>
      </c>
      <c r="BI919">
        <v>31</v>
      </c>
      <c r="BJ919" t="s">
        <v>13023</v>
      </c>
      <c r="BK919" t="s">
        <v>95</v>
      </c>
      <c r="BL919" t="s">
        <v>13023</v>
      </c>
      <c r="BM919" t="s">
        <v>13024</v>
      </c>
      <c r="BN919" t="s">
        <v>74</v>
      </c>
      <c r="BO919" t="s">
        <v>74</v>
      </c>
      <c r="BP919" t="s">
        <v>74</v>
      </c>
      <c r="BQ919" t="s">
        <v>74</v>
      </c>
      <c r="BR919" t="s">
        <v>97</v>
      </c>
      <c r="BS919" t="s">
        <v>13025</v>
      </c>
      <c r="BT919" t="str">
        <f>HYPERLINK("https%3A%2F%2Fwww.webofscience.com%2Fwos%2Fwoscc%2Ffull-record%2FWOS:000233899200008","View Full Record in Web of Science")</f>
        <v>View Full Record in Web of Science</v>
      </c>
    </row>
    <row r="920" spans="1:72" x14ac:dyDescent="0.15">
      <c r="A920" t="s">
        <v>72</v>
      </c>
      <c r="B920" t="s">
        <v>13026</v>
      </c>
      <c r="C920" t="s">
        <v>74</v>
      </c>
      <c r="D920" t="s">
        <v>74</v>
      </c>
      <c r="E920" t="s">
        <v>74</v>
      </c>
      <c r="F920" t="s">
        <v>13026</v>
      </c>
      <c r="G920" t="s">
        <v>74</v>
      </c>
      <c r="H920" t="s">
        <v>74</v>
      </c>
      <c r="I920" t="s">
        <v>13027</v>
      </c>
      <c r="J920" t="s">
        <v>13028</v>
      </c>
      <c r="K920" t="s">
        <v>74</v>
      </c>
      <c r="L920" t="s">
        <v>74</v>
      </c>
      <c r="M920" t="s">
        <v>77</v>
      </c>
      <c r="N920" t="s">
        <v>78</v>
      </c>
      <c r="O920" t="s">
        <v>74</v>
      </c>
      <c r="P920" t="s">
        <v>74</v>
      </c>
      <c r="Q920" t="s">
        <v>74</v>
      </c>
      <c r="R920" t="s">
        <v>74</v>
      </c>
      <c r="S920" t="s">
        <v>74</v>
      </c>
      <c r="T920" t="s">
        <v>13029</v>
      </c>
      <c r="U920" t="s">
        <v>13030</v>
      </c>
      <c r="V920" t="s">
        <v>13031</v>
      </c>
      <c r="W920" t="s">
        <v>13032</v>
      </c>
      <c r="X920" t="s">
        <v>1967</v>
      </c>
      <c r="Y920" t="s">
        <v>13033</v>
      </c>
      <c r="Z920" t="s">
        <v>13034</v>
      </c>
      <c r="AA920" t="s">
        <v>13035</v>
      </c>
      <c r="AB920" t="s">
        <v>13036</v>
      </c>
      <c r="AC920" t="s">
        <v>74</v>
      </c>
      <c r="AD920" t="s">
        <v>74</v>
      </c>
      <c r="AE920" t="s">
        <v>74</v>
      </c>
      <c r="AF920" t="s">
        <v>74</v>
      </c>
      <c r="AG920">
        <v>42</v>
      </c>
      <c r="AH920">
        <v>6</v>
      </c>
      <c r="AI920">
        <v>6</v>
      </c>
      <c r="AJ920">
        <v>0</v>
      </c>
      <c r="AK920">
        <v>0</v>
      </c>
      <c r="AL920" t="s">
        <v>2232</v>
      </c>
      <c r="AM920" t="s">
        <v>256</v>
      </c>
      <c r="AN920" t="s">
        <v>2233</v>
      </c>
      <c r="AO920" t="s">
        <v>13037</v>
      </c>
      <c r="AP920" t="s">
        <v>74</v>
      </c>
      <c r="AQ920" t="s">
        <v>74</v>
      </c>
      <c r="AR920" t="s">
        <v>13038</v>
      </c>
      <c r="AS920" t="s">
        <v>13039</v>
      </c>
      <c r="AT920" t="s">
        <v>74</v>
      </c>
      <c r="AU920">
        <v>2005</v>
      </c>
      <c r="AV920">
        <v>9</v>
      </c>
      <c r="AW920">
        <v>1</v>
      </c>
      <c r="AX920" t="s">
        <v>74</v>
      </c>
      <c r="AY920" t="s">
        <v>74</v>
      </c>
      <c r="AZ920" t="s">
        <v>74</v>
      </c>
      <c r="BA920" t="s">
        <v>74</v>
      </c>
      <c r="BB920">
        <v>31</v>
      </c>
      <c r="BC920">
        <v>50</v>
      </c>
      <c r="BD920" t="s">
        <v>74</v>
      </c>
      <c r="BE920" t="s">
        <v>13040</v>
      </c>
      <c r="BF920" t="str">
        <f>HYPERLINK("http://dx.doi.org/10.1016/j.ocemod.2004.04.001","http://dx.doi.org/10.1016/j.ocemod.2004.04.001")</f>
        <v>http://dx.doi.org/10.1016/j.ocemod.2004.04.001</v>
      </c>
      <c r="BG920" t="s">
        <v>74</v>
      </c>
      <c r="BH920" t="s">
        <v>74</v>
      </c>
      <c r="BI920">
        <v>20</v>
      </c>
      <c r="BJ920" t="s">
        <v>3478</v>
      </c>
      <c r="BK920" t="s">
        <v>95</v>
      </c>
      <c r="BL920" t="s">
        <v>3478</v>
      </c>
      <c r="BM920" t="s">
        <v>13041</v>
      </c>
      <c r="BN920" t="s">
        <v>74</v>
      </c>
      <c r="BO920" t="s">
        <v>74</v>
      </c>
      <c r="BP920" t="s">
        <v>74</v>
      </c>
      <c r="BQ920" t="s">
        <v>74</v>
      </c>
      <c r="BR920" t="s">
        <v>97</v>
      </c>
      <c r="BS920" t="s">
        <v>13042</v>
      </c>
      <c r="BT920" t="str">
        <f>HYPERLINK("https%3A%2F%2Fwww.webofscience.com%2Fwos%2Fwoscc%2Ffull-record%2FWOS:000226433400003","View Full Record in Web of Science")</f>
        <v>View Full Record in Web of Science</v>
      </c>
    </row>
    <row r="921" spans="1:72" x14ac:dyDescent="0.15">
      <c r="A921" t="s">
        <v>72</v>
      </c>
      <c r="B921" t="s">
        <v>13043</v>
      </c>
      <c r="C921" t="s">
        <v>74</v>
      </c>
      <c r="D921" t="s">
        <v>74</v>
      </c>
      <c r="E921" t="s">
        <v>74</v>
      </c>
      <c r="F921" t="s">
        <v>13043</v>
      </c>
      <c r="G921" t="s">
        <v>74</v>
      </c>
      <c r="H921" t="s">
        <v>74</v>
      </c>
      <c r="I921" t="s">
        <v>13044</v>
      </c>
      <c r="J921" t="s">
        <v>13028</v>
      </c>
      <c r="K921" t="s">
        <v>74</v>
      </c>
      <c r="L921" t="s">
        <v>74</v>
      </c>
      <c r="M921" t="s">
        <v>77</v>
      </c>
      <c r="N921" t="s">
        <v>78</v>
      </c>
      <c r="O921" t="s">
        <v>74</v>
      </c>
      <c r="P921" t="s">
        <v>74</v>
      </c>
      <c r="Q921" t="s">
        <v>74</v>
      </c>
      <c r="R921" t="s">
        <v>74</v>
      </c>
      <c r="S921" t="s">
        <v>74</v>
      </c>
      <c r="T921" t="s">
        <v>13045</v>
      </c>
      <c r="U921" t="s">
        <v>13046</v>
      </c>
      <c r="V921" t="s">
        <v>13047</v>
      </c>
      <c r="W921" t="s">
        <v>13048</v>
      </c>
      <c r="X921" t="s">
        <v>13049</v>
      </c>
      <c r="Y921" t="s">
        <v>230</v>
      </c>
      <c r="Z921" t="s">
        <v>13050</v>
      </c>
      <c r="AA921" t="s">
        <v>13051</v>
      </c>
      <c r="AB921" t="s">
        <v>13052</v>
      </c>
      <c r="AC921" t="s">
        <v>74</v>
      </c>
      <c r="AD921" t="s">
        <v>74</v>
      </c>
      <c r="AE921" t="s">
        <v>74</v>
      </c>
      <c r="AF921" t="s">
        <v>74</v>
      </c>
      <c r="AG921">
        <v>55</v>
      </c>
      <c r="AH921">
        <v>10</v>
      </c>
      <c r="AI921">
        <v>11</v>
      </c>
      <c r="AJ921">
        <v>0</v>
      </c>
      <c r="AK921">
        <v>3</v>
      </c>
      <c r="AL921" t="s">
        <v>2232</v>
      </c>
      <c r="AM921" t="s">
        <v>256</v>
      </c>
      <c r="AN921" t="s">
        <v>2233</v>
      </c>
      <c r="AO921" t="s">
        <v>13037</v>
      </c>
      <c r="AP921" t="s">
        <v>13053</v>
      </c>
      <c r="AQ921" t="s">
        <v>74</v>
      </c>
      <c r="AR921" t="s">
        <v>13038</v>
      </c>
      <c r="AS921" t="s">
        <v>13039</v>
      </c>
      <c r="AT921" t="s">
        <v>74</v>
      </c>
      <c r="AU921">
        <v>2005</v>
      </c>
      <c r="AV921">
        <v>9</v>
      </c>
      <c r="AW921">
        <v>2</v>
      </c>
      <c r="AX921" t="s">
        <v>74</v>
      </c>
      <c r="AY921" t="s">
        <v>74</v>
      </c>
      <c r="AZ921" t="s">
        <v>74</v>
      </c>
      <c r="BA921" t="s">
        <v>74</v>
      </c>
      <c r="BB921">
        <v>105</v>
      </c>
      <c r="BC921">
        <v>132</v>
      </c>
      <c r="BD921" t="s">
        <v>74</v>
      </c>
      <c r="BE921" t="s">
        <v>13054</v>
      </c>
      <c r="BF921" t="str">
        <f>HYPERLINK("http://dx.doi.org/10.1016/j.ocemod.2004.04.004","http://dx.doi.org/10.1016/j.ocemod.2004.04.004")</f>
        <v>http://dx.doi.org/10.1016/j.ocemod.2004.04.004</v>
      </c>
      <c r="BG921" t="s">
        <v>74</v>
      </c>
      <c r="BH921" t="s">
        <v>74</v>
      </c>
      <c r="BI921">
        <v>28</v>
      </c>
      <c r="BJ921" t="s">
        <v>3478</v>
      </c>
      <c r="BK921" t="s">
        <v>95</v>
      </c>
      <c r="BL921" t="s">
        <v>3478</v>
      </c>
      <c r="BM921" t="s">
        <v>13055</v>
      </c>
      <c r="BN921" t="s">
        <v>74</v>
      </c>
      <c r="BO921" t="s">
        <v>6908</v>
      </c>
      <c r="BP921" t="s">
        <v>74</v>
      </c>
      <c r="BQ921" t="s">
        <v>74</v>
      </c>
      <c r="BR921" t="s">
        <v>97</v>
      </c>
      <c r="BS921" t="s">
        <v>13056</v>
      </c>
      <c r="BT921" t="str">
        <f>HYPERLINK("https%3A%2F%2Fwww.webofscience.com%2Fwos%2Fwoscc%2Ffull-record%2FWOS:000227014700001","View Full Record in Web of Science")</f>
        <v>View Full Record in Web of Science</v>
      </c>
    </row>
    <row r="922" spans="1:72" x14ac:dyDescent="0.15">
      <c r="A922" t="s">
        <v>72</v>
      </c>
      <c r="B922" t="s">
        <v>13057</v>
      </c>
      <c r="C922" t="s">
        <v>74</v>
      </c>
      <c r="D922" t="s">
        <v>74</v>
      </c>
      <c r="E922" t="s">
        <v>74</v>
      </c>
      <c r="F922" t="s">
        <v>13057</v>
      </c>
      <c r="G922" t="s">
        <v>74</v>
      </c>
      <c r="H922" t="s">
        <v>74</v>
      </c>
      <c r="I922" t="s">
        <v>13058</v>
      </c>
      <c r="J922" t="s">
        <v>13028</v>
      </c>
      <c r="K922" t="s">
        <v>74</v>
      </c>
      <c r="L922" t="s">
        <v>74</v>
      </c>
      <c r="M922" t="s">
        <v>77</v>
      </c>
      <c r="N922" t="s">
        <v>78</v>
      </c>
      <c r="O922" t="s">
        <v>74</v>
      </c>
      <c r="P922" t="s">
        <v>74</v>
      </c>
      <c r="Q922" t="s">
        <v>74</v>
      </c>
      <c r="R922" t="s">
        <v>74</v>
      </c>
      <c r="S922" t="s">
        <v>74</v>
      </c>
      <c r="T922" t="s">
        <v>74</v>
      </c>
      <c r="U922" t="s">
        <v>13059</v>
      </c>
      <c r="V922" t="s">
        <v>13060</v>
      </c>
      <c r="W922" t="s">
        <v>13061</v>
      </c>
      <c r="X922" t="s">
        <v>13062</v>
      </c>
      <c r="Y922" t="s">
        <v>13063</v>
      </c>
      <c r="Z922" t="s">
        <v>13064</v>
      </c>
      <c r="AA922" t="s">
        <v>13065</v>
      </c>
      <c r="AB922" t="s">
        <v>13066</v>
      </c>
      <c r="AC922" t="s">
        <v>74</v>
      </c>
      <c r="AD922" t="s">
        <v>74</v>
      </c>
      <c r="AE922" t="s">
        <v>74</v>
      </c>
      <c r="AF922" t="s">
        <v>74</v>
      </c>
      <c r="AG922">
        <v>71</v>
      </c>
      <c r="AH922">
        <v>217</v>
      </c>
      <c r="AI922">
        <v>220</v>
      </c>
      <c r="AJ922">
        <v>1</v>
      </c>
      <c r="AK922">
        <v>19</v>
      </c>
      <c r="AL922" t="s">
        <v>2232</v>
      </c>
      <c r="AM922" t="s">
        <v>256</v>
      </c>
      <c r="AN922" t="s">
        <v>2233</v>
      </c>
      <c r="AO922" t="s">
        <v>13037</v>
      </c>
      <c r="AP922" t="s">
        <v>13053</v>
      </c>
      <c r="AQ922" t="s">
        <v>74</v>
      </c>
      <c r="AR922" t="s">
        <v>13038</v>
      </c>
      <c r="AS922" t="s">
        <v>13039</v>
      </c>
      <c r="AT922" t="s">
        <v>74</v>
      </c>
      <c r="AU922">
        <v>2005</v>
      </c>
      <c r="AV922">
        <v>8</v>
      </c>
      <c r="AW922" t="s">
        <v>442</v>
      </c>
      <c r="AX922" t="s">
        <v>74</v>
      </c>
      <c r="AY922" t="s">
        <v>74</v>
      </c>
      <c r="AZ922" t="s">
        <v>74</v>
      </c>
      <c r="BA922" t="s">
        <v>74</v>
      </c>
      <c r="BB922">
        <v>175</v>
      </c>
      <c r="BC922">
        <v>201</v>
      </c>
      <c r="BD922" t="s">
        <v>74</v>
      </c>
      <c r="BE922" t="s">
        <v>13067</v>
      </c>
      <c r="BF922" t="str">
        <f>HYPERLINK("http://dx.doi.org/10.1016/j.ocemod.2003.12.009","http://dx.doi.org/10.1016/j.ocemod.2003.12.009")</f>
        <v>http://dx.doi.org/10.1016/j.ocemod.2003.12.009</v>
      </c>
      <c r="BG922" t="s">
        <v>74</v>
      </c>
      <c r="BH922" t="s">
        <v>74</v>
      </c>
      <c r="BI922">
        <v>27</v>
      </c>
      <c r="BJ922" t="s">
        <v>3478</v>
      </c>
      <c r="BK922" t="s">
        <v>95</v>
      </c>
      <c r="BL922" t="s">
        <v>3478</v>
      </c>
      <c r="BM922" t="s">
        <v>13068</v>
      </c>
      <c r="BN922" t="s">
        <v>74</v>
      </c>
      <c r="BO922" t="s">
        <v>750</v>
      </c>
      <c r="BP922" t="s">
        <v>74</v>
      </c>
      <c r="BQ922" t="s">
        <v>74</v>
      </c>
      <c r="BR922" t="s">
        <v>97</v>
      </c>
      <c r="BS922" t="s">
        <v>13069</v>
      </c>
      <c r="BT922" t="str">
        <f>HYPERLINK("https%3A%2F%2Fwww.webofscience.com%2Fwos%2Fwoscc%2Ffull-record%2FWOS:000224515100008","View Full Record in Web of Science")</f>
        <v>View Full Record in Web of Science</v>
      </c>
    </row>
    <row r="923" spans="1:72" x14ac:dyDescent="0.15">
      <c r="A923" t="s">
        <v>72</v>
      </c>
      <c r="B923" t="s">
        <v>13070</v>
      </c>
      <c r="C923" t="s">
        <v>74</v>
      </c>
      <c r="D923" t="s">
        <v>74</v>
      </c>
      <c r="E923" t="s">
        <v>74</v>
      </c>
      <c r="F923" t="s">
        <v>13071</v>
      </c>
      <c r="G923" t="s">
        <v>74</v>
      </c>
      <c r="H923" t="s">
        <v>74</v>
      </c>
      <c r="I923" t="s">
        <v>13072</v>
      </c>
      <c r="J923" t="s">
        <v>13073</v>
      </c>
      <c r="K923" t="s">
        <v>74</v>
      </c>
      <c r="L923" t="s">
        <v>74</v>
      </c>
      <c r="M923" t="s">
        <v>77</v>
      </c>
      <c r="N923" t="s">
        <v>78</v>
      </c>
      <c r="O923" t="s">
        <v>74</v>
      </c>
      <c r="P923" t="s">
        <v>74</v>
      </c>
      <c r="Q923" t="s">
        <v>74</v>
      </c>
      <c r="R923" t="s">
        <v>74</v>
      </c>
      <c r="S923" t="s">
        <v>74</v>
      </c>
      <c r="T923" t="s">
        <v>74</v>
      </c>
      <c r="U923" t="s">
        <v>13074</v>
      </c>
      <c r="V923" t="s">
        <v>13075</v>
      </c>
      <c r="W923" t="s">
        <v>13076</v>
      </c>
      <c r="X923" t="s">
        <v>13077</v>
      </c>
      <c r="Y923" t="s">
        <v>13078</v>
      </c>
      <c r="Z923" t="s">
        <v>13079</v>
      </c>
      <c r="AA923" t="s">
        <v>13080</v>
      </c>
      <c r="AB923" t="s">
        <v>13081</v>
      </c>
      <c r="AC923" t="s">
        <v>74</v>
      </c>
      <c r="AD923" t="s">
        <v>74</v>
      </c>
      <c r="AE923" t="s">
        <v>74</v>
      </c>
      <c r="AF923" t="s">
        <v>74</v>
      </c>
      <c r="AG923">
        <v>144</v>
      </c>
      <c r="AH923">
        <v>299</v>
      </c>
      <c r="AI923">
        <v>322</v>
      </c>
      <c r="AJ923">
        <v>0</v>
      </c>
      <c r="AK923">
        <v>40</v>
      </c>
      <c r="AL923" t="s">
        <v>2353</v>
      </c>
      <c r="AM923" t="s">
        <v>2354</v>
      </c>
      <c r="AN923" t="s">
        <v>2355</v>
      </c>
      <c r="AO923" t="s">
        <v>13082</v>
      </c>
      <c r="AP923" t="s">
        <v>74</v>
      </c>
      <c r="AQ923" t="s">
        <v>74</v>
      </c>
      <c r="AR923" t="s">
        <v>13083</v>
      </c>
      <c r="AS923" t="s">
        <v>13084</v>
      </c>
      <c r="AT923" t="s">
        <v>74</v>
      </c>
      <c r="AU923">
        <v>2005</v>
      </c>
      <c r="AV923">
        <v>1</v>
      </c>
      <c r="AW923">
        <v>1</v>
      </c>
      <c r="AX923" t="s">
        <v>74</v>
      </c>
      <c r="AY923" t="s">
        <v>74</v>
      </c>
      <c r="AZ923" t="s">
        <v>74</v>
      </c>
      <c r="BA923" t="s">
        <v>74</v>
      </c>
      <c r="BB923">
        <v>45</v>
      </c>
      <c r="BC923">
        <v>79</v>
      </c>
      <c r="BD923" t="s">
        <v>74</v>
      </c>
      <c r="BE923" t="s">
        <v>13085</v>
      </c>
      <c r="BF923" t="str">
        <f>HYPERLINK("http://dx.doi.org/10.5194/os-1-45-2005","http://dx.doi.org/10.5194/os-1-45-2005")</f>
        <v>http://dx.doi.org/10.5194/os-1-45-2005</v>
      </c>
      <c r="BG923" t="s">
        <v>74</v>
      </c>
      <c r="BH923" t="s">
        <v>74</v>
      </c>
      <c r="BI923">
        <v>35</v>
      </c>
      <c r="BJ923" t="s">
        <v>3478</v>
      </c>
      <c r="BK923" t="s">
        <v>95</v>
      </c>
      <c r="BL923" t="s">
        <v>3478</v>
      </c>
      <c r="BM923" t="s">
        <v>13086</v>
      </c>
      <c r="BN923" t="s">
        <v>74</v>
      </c>
      <c r="BO923" t="s">
        <v>5623</v>
      </c>
      <c r="BP923" t="s">
        <v>74</v>
      </c>
      <c r="BQ923" t="s">
        <v>74</v>
      </c>
      <c r="BR923" t="s">
        <v>97</v>
      </c>
      <c r="BS923" t="s">
        <v>13087</v>
      </c>
      <c r="BT923" t="str">
        <f>HYPERLINK("https%3A%2F%2Fwww.webofscience.com%2Fwos%2Fwoscc%2Ffull-record%2FWOS:000208484900006","View Full Record in Web of Science")</f>
        <v>View Full Record in Web of Science</v>
      </c>
    </row>
    <row r="924" spans="1:72" x14ac:dyDescent="0.15">
      <c r="A924" t="s">
        <v>72</v>
      </c>
      <c r="B924" t="s">
        <v>13088</v>
      </c>
      <c r="C924" t="s">
        <v>74</v>
      </c>
      <c r="D924" t="s">
        <v>74</v>
      </c>
      <c r="E924" t="s">
        <v>74</v>
      </c>
      <c r="F924" t="s">
        <v>13089</v>
      </c>
      <c r="G924" t="s">
        <v>74</v>
      </c>
      <c r="H924" t="s">
        <v>74</v>
      </c>
      <c r="I924" t="s">
        <v>13090</v>
      </c>
      <c r="J924" t="s">
        <v>13073</v>
      </c>
      <c r="K924" t="s">
        <v>74</v>
      </c>
      <c r="L924" t="s">
        <v>74</v>
      </c>
      <c r="M924" t="s">
        <v>77</v>
      </c>
      <c r="N924" t="s">
        <v>78</v>
      </c>
      <c r="O924" t="s">
        <v>74</v>
      </c>
      <c r="P924" t="s">
        <v>74</v>
      </c>
      <c r="Q924" t="s">
        <v>74</v>
      </c>
      <c r="R924" t="s">
        <v>74</v>
      </c>
      <c r="S924" t="s">
        <v>74</v>
      </c>
      <c r="T924" t="s">
        <v>74</v>
      </c>
      <c r="U924" t="s">
        <v>74</v>
      </c>
      <c r="V924" t="s">
        <v>13091</v>
      </c>
      <c r="W924" t="s">
        <v>13092</v>
      </c>
      <c r="X924" t="s">
        <v>13062</v>
      </c>
      <c r="Y924" t="s">
        <v>13093</v>
      </c>
      <c r="Z924" t="s">
        <v>13094</v>
      </c>
      <c r="AA924" t="s">
        <v>13095</v>
      </c>
      <c r="AB924" t="s">
        <v>13096</v>
      </c>
      <c r="AC924" t="s">
        <v>13097</v>
      </c>
      <c r="AD924" t="s">
        <v>13098</v>
      </c>
      <c r="AE924" t="s">
        <v>13099</v>
      </c>
      <c r="AF924" t="s">
        <v>74</v>
      </c>
      <c r="AG924">
        <v>30</v>
      </c>
      <c r="AH924">
        <v>55</v>
      </c>
      <c r="AI924">
        <v>59</v>
      </c>
      <c r="AJ924">
        <v>1</v>
      </c>
      <c r="AK924">
        <v>22</v>
      </c>
      <c r="AL924" t="s">
        <v>2353</v>
      </c>
      <c r="AM924" t="s">
        <v>2354</v>
      </c>
      <c r="AN924" t="s">
        <v>2355</v>
      </c>
      <c r="AO924" t="s">
        <v>13082</v>
      </c>
      <c r="AP924" t="s">
        <v>74</v>
      </c>
      <c r="AQ924" t="s">
        <v>74</v>
      </c>
      <c r="AR924" t="s">
        <v>13083</v>
      </c>
      <c r="AS924" t="s">
        <v>13084</v>
      </c>
      <c r="AT924" t="s">
        <v>74</v>
      </c>
      <c r="AU924">
        <v>2005</v>
      </c>
      <c r="AV924">
        <v>1</v>
      </c>
      <c r="AW924">
        <v>3</v>
      </c>
      <c r="AX924" t="s">
        <v>74</v>
      </c>
      <c r="AY924" t="s">
        <v>74</v>
      </c>
      <c r="AZ924" t="s">
        <v>74</v>
      </c>
      <c r="BA924" t="s">
        <v>74</v>
      </c>
      <c r="BB924">
        <v>145</v>
      </c>
      <c r="BC924">
        <v>157</v>
      </c>
      <c r="BD924" t="s">
        <v>74</v>
      </c>
      <c r="BE924" t="s">
        <v>13100</v>
      </c>
      <c r="BF924" t="str">
        <f>HYPERLINK("http://dx.doi.org/10.5194/os-1-145-2005","http://dx.doi.org/10.5194/os-1-145-2005")</f>
        <v>http://dx.doi.org/10.5194/os-1-145-2005</v>
      </c>
      <c r="BG924" t="s">
        <v>74</v>
      </c>
      <c r="BH924" t="s">
        <v>74</v>
      </c>
      <c r="BI924">
        <v>13</v>
      </c>
      <c r="BJ924" t="s">
        <v>3478</v>
      </c>
      <c r="BK924" t="s">
        <v>95</v>
      </c>
      <c r="BL924" t="s">
        <v>3478</v>
      </c>
      <c r="BM924" t="s">
        <v>13101</v>
      </c>
      <c r="BN924" t="s">
        <v>74</v>
      </c>
      <c r="BO924" t="s">
        <v>1453</v>
      </c>
      <c r="BP924" t="s">
        <v>74</v>
      </c>
      <c r="BQ924" t="s">
        <v>74</v>
      </c>
      <c r="BR924" t="s">
        <v>97</v>
      </c>
      <c r="BS924" t="s">
        <v>13102</v>
      </c>
      <c r="BT924" t="str">
        <f>HYPERLINK("https%3A%2F%2Fwww.webofscience.com%2Fwos%2Fwoscc%2Ffull-record%2FWOS:000208485100001","View Full Record in Web of Science")</f>
        <v>View Full Record in Web of Science</v>
      </c>
    </row>
    <row r="925" spans="1:72" x14ac:dyDescent="0.15">
      <c r="A925" t="s">
        <v>8867</v>
      </c>
      <c r="B925" t="s">
        <v>13103</v>
      </c>
      <c r="C925" t="s">
        <v>74</v>
      </c>
      <c r="D925" t="s">
        <v>74</v>
      </c>
      <c r="E925" t="s">
        <v>74</v>
      </c>
      <c r="F925" t="s">
        <v>13104</v>
      </c>
      <c r="G925" t="s">
        <v>74</v>
      </c>
      <c r="H925" t="s">
        <v>74</v>
      </c>
      <c r="I925" t="s">
        <v>13105</v>
      </c>
      <c r="J925" t="s">
        <v>13106</v>
      </c>
      <c r="K925" t="s">
        <v>13107</v>
      </c>
      <c r="L925" t="s">
        <v>74</v>
      </c>
      <c r="M925" t="s">
        <v>77</v>
      </c>
      <c r="N925" t="s">
        <v>8873</v>
      </c>
      <c r="O925" t="s">
        <v>13108</v>
      </c>
      <c r="P925" t="s">
        <v>13109</v>
      </c>
      <c r="Q925" t="s">
        <v>13110</v>
      </c>
      <c r="R925" t="s">
        <v>74</v>
      </c>
      <c r="S925" t="s">
        <v>74</v>
      </c>
      <c r="T925" t="s">
        <v>74</v>
      </c>
      <c r="U925" t="s">
        <v>13111</v>
      </c>
      <c r="V925" t="s">
        <v>13112</v>
      </c>
      <c r="W925" t="s">
        <v>13113</v>
      </c>
      <c r="X925" t="s">
        <v>74</v>
      </c>
      <c r="Y925" t="s">
        <v>13114</v>
      </c>
      <c r="Z925" t="s">
        <v>74</v>
      </c>
      <c r="AA925" t="s">
        <v>13115</v>
      </c>
      <c r="AB925" t="s">
        <v>13116</v>
      </c>
      <c r="AC925" t="s">
        <v>74</v>
      </c>
      <c r="AD925" t="s">
        <v>74</v>
      </c>
      <c r="AE925" t="s">
        <v>74</v>
      </c>
      <c r="AF925" t="s">
        <v>74</v>
      </c>
      <c r="AG925">
        <v>35</v>
      </c>
      <c r="AH925">
        <v>1</v>
      </c>
      <c r="AI925">
        <v>1</v>
      </c>
      <c r="AJ925">
        <v>0</v>
      </c>
      <c r="AK925">
        <v>6</v>
      </c>
      <c r="AL925" t="s">
        <v>8869</v>
      </c>
      <c r="AM925" t="s">
        <v>134</v>
      </c>
      <c r="AN925" t="s">
        <v>8884</v>
      </c>
      <c r="AO925" t="s">
        <v>13117</v>
      </c>
      <c r="AP925" t="s">
        <v>74</v>
      </c>
      <c r="AQ925" t="s">
        <v>13118</v>
      </c>
      <c r="AR925" t="s">
        <v>13107</v>
      </c>
      <c r="AS925" t="s">
        <v>74</v>
      </c>
      <c r="AT925" t="s">
        <v>74</v>
      </c>
      <c r="AU925">
        <v>2005</v>
      </c>
      <c r="AV925" t="s">
        <v>74</v>
      </c>
      <c r="AW925" t="s">
        <v>74</v>
      </c>
      <c r="AX925" t="s">
        <v>74</v>
      </c>
      <c r="AY925" t="s">
        <v>74</v>
      </c>
      <c r="AZ925" t="s">
        <v>74</v>
      </c>
      <c r="BA925" t="s">
        <v>74</v>
      </c>
      <c r="BB925">
        <v>1305</v>
      </c>
      <c r="BC925">
        <v>1310</v>
      </c>
      <c r="BD925" t="s">
        <v>74</v>
      </c>
      <c r="BE925" t="s">
        <v>74</v>
      </c>
      <c r="BF925" t="s">
        <v>74</v>
      </c>
      <c r="BG925" t="s">
        <v>74</v>
      </c>
      <c r="BH925" t="s">
        <v>74</v>
      </c>
      <c r="BI925">
        <v>6</v>
      </c>
      <c r="BJ925" t="s">
        <v>2050</v>
      </c>
      <c r="BK925" t="s">
        <v>8890</v>
      </c>
      <c r="BL925" t="s">
        <v>2051</v>
      </c>
      <c r="BM925" t="s">
        <v>13119</v>
      </c>
      <c r="BN925" t="s">
        <v>74</v>
      </c>
      <c r="BO925" t="s">
        <v>74</v>
      </c>
      <c r="BP925" t="s">
        <v>74</v>
      </c>
      <c r="BQ925" t="s">
        <v>74</v>
      </c>
      <c r="BR925" t="s">
        <v>97</v>
      </c>
      <c r="BS925" t="s">
        <v>13120</v>
      </c>
      <c r="BT925" t="str">
        <f>HYPERLINK("https%3A%2F%2Fwww.webofscience.com%2Fwos%2Fwoscc%2Ffull-record%2FWOS:000238978701057","View Full Record in Web of Science")</f>
        <v>View Full Record in Web of Science</v>
      </c>
    </row>
    <row r="926" spans="1:72" x14ac:dyDescent="0.15">
      <c r="A926" t="s">
        <v>72</v>
      </c>
      <c r="B926" t="s">
        <v>13121</v>
      </c>
      <c r="C926" t="s">
        <v>74</v>
      </c>
      <c r="D926" t="s">
        <v>74</v>
      </c>
      <c r="E926" t="s">
        <v>74</v>
      </c>
      <c r="F926" t="s">
        <v>13121</v>
      </c>
      <c r="G926" t="s">
        <v>74</v>
      </c>
      <c r="H926" t="s">
        <v>74</v>
      </c>
      <c r="I926" t="s">
        <v>13122</v>
      </c>
      <c r="J926" t="s">
        <v>6763</v>
      </c>
      <c r="K926" t="s">
        <v>74</v>
      </c>
      <c r="L926" t="s">
        <v>74</v>
      </c>
      <c r="M926" t="s">
        <v>77</v>
      </c>
      <c r="N926" t="s">
        <v>78</v>
      </c>
      <c r="O926" t="s">
        <v>74</v>
      </c>
      <c r="P926" t="s">
        <v>74</v>
      </c>
      <c r="Q926" t="s">
        <v>74</v>
      </c>
      <c r="R926" t="s">
        <v>74</v>
      </c>
      <c r="S926" t="s">
        <v>74</v>
      </c>
      <c r="T926" t="s">
        <v>13123</v>
      </c>
      <c r="U926" t="s">
        <v>13124</v>
      </c>
      <c r="V926" t="s">
        <v>13125</v>
      </c>
      <c r="W926" t="s">
        <v>13126</v>
      </c>
      <c r="X926" t="s">
        <v>13127</v>
      </c>
      <c r="Y926" t="s">
        <v>13128</v>
      </c>
      <c r="Z926" t="s">
        <v>13129</v>
      </c>
      <c r="AA926" t="s">
        <v>13130</v>
      </c>
      <c r="AB926" t="s">
        <v>13131</v>
      </c>
      <c r="AC926" t="s">
        <v>74</v>
      </c>
      <c r="AD926" t="s">
        <v>74</v>
      </c>
      <c r="AE926" t="s">
        <v>74</v>
      </c>
      <c r="AF926" t="s">
        <v>74</v>
      </c>
      <c r="AG926">
        <v>55</v>
      </c>
      <c r="AH926">
        <v>100</v>
      </c>
      <c r="AI926">
        <v>116</v>
      </c>
      <c r="AJ926">
        <v>0</v>
      </c>
      <c r="AK926">
        <v>25</v>
      </c>
      <c r="AL926" t="s">
        <v>133</v>
      </c>
      <c r="AM926" t="s">
        <v>134</v>
      </c>
      <c r="AN926" t="s">
        <v>135</v>
      </c>
      <c r="AO926" t="s">
        <v>6772</v>
      </c>
      <c r="AP926" t="s">
        <v>74</v>
      </c>
      <c r="AQ926" t="s">
        <v>74</v>
      </c>
      <c r="AR926" t="s">
        <v>6763</v>
      </c>
      <c r="AS926" t="s">
        <v>6774</v>
      </c>
      <c r="AT926" t="s">
        <v>9676</v>
      </c>
      <c r="AU926">
        <v>2005</v>
      </c>
      <c r="AV926">
        <v>142</v>
      </c>
      <c r="AW926">
        <v>1</v>
      </c>
      <c r="AX926" t="s">
        <v>74</v>
      </c>
      <c r="AY926" t="s">
        <v>74</v>
      </c>
      <c r="AZ926" t="s">
        <v>74</v>
      </c>
      <c r="BA926" t="s">
        <v>74</v>
      </c>
      <c r="BB926">
        <v>127</v>
      </c>
      <c r="BC926">
        <v>135</v>
      </c>
      <c r="BD926" t="s">
        <v>74</v>
      </c>
      <c r="BE926" t="s">
        <v>13132</v>
      </c>
      <c r="BF926" t="str">
        <f>HYPERLINK("http://dx.doi.org/10.1007/s00442-004-1704-2","http://dx.doi.org/10.1007/s00442-004-1704-2")</f>
        <v>http://dx.doi.org/10.1007/s00442-004-1704-2</v>
      </c>
      <c r="BG926" t="s">
        <v>74</v>
      </c>
      <c r="BH926" t="s">
        <v>74</v>
      </c>
      <c r="BI926">
        <v>9</v>
      </c>
      <c r="BJ926" t="s">
        <v>3248</v>
      </c>
      <c r="BK926" t="s">
        <v>95</v>
      </c>
      <c r="BL926" t="s">
        <v>219</v>
      </c>
      <c r="BM926" t="s">
        <v>13133</v>
      </c>
      <c r="BN926">
        <v>15365810</v>
      </c>
      <c r="BO926" t="s">
        <v>74</v>
      </c>
      <c r="BP926" t="s">
        <v>74</v>
      </c>
      <c r="BQ926" t="s">
        <v>74</v>
      </c>
      <c r="BR926" t="s">
        <v>97</v>
      </c>
      <c r="BS926" t="s">
        <v>13134</v>
      </c>
      <c r="BT926" t="str">
        <f>HYPERLINK("https%3A%2F%2Fwww.webofscience.com%2Fwos%2Fwoscc%2Ffull-record%2FWOS:000225472100015","View Full Record in Web of Science")</f>
        <v>View Full Record in Web of Science</v>
      </c>
    </row>
    <row r="927" spans="1:72" x14ac:dyDescent="0.15">
      <c r="A927" t="s">
        <v>72</v>
      </c>
      <c r="B927" t="s">
        <v>13135</v>
      </c>
      <c r="C927" t="s">
        <v>74</v>
      </c>
      <c r="D927" t="s">
        <v>74</v>
      </c>
      <c r="E927" t="s">
        <v>74</v>
      </c>
      <c r="F927" t="s">
        <v>13135</v>
      </c>
      <c r="G927" t="s">
        <v>74</v>
      </c>
      <c r="H927" t="s">
        <v>74</v>
      </c>
      <c r="I927" t="s">
        <v>13136</v>
      </c>
      <c r="J927" t="s">
        <v>13137</v>
      </c>
      <c r="K927" t="s">
        <v>74</v>
      </c>
      <c r="L927" t="s">
        <v>74</v>
      </c>
      <c r="M927" t="s">
        <v>77</v>
      </c>
      <c r="N927" t="s">
        <v>495</v>
      </c>
      <c r="O927" t="s">
        <v>13138</v>
      </c>
      <c r="P927">
        <v>2003</v>
      </c>
      <c r="Q927" t="s">
        <v>13139</v>
      </c>
      <c r="R927" t="s">
        <v>74</v>
      </c>
      <c r="S927" t="s">
        <v>74</v>
      </c>
      <c r="T927" t="s">
        <v>74</v>
      </c>
      <c r="U927" t="s">
        <v>13140</v>
      </c>
      <c r="V927" t="s">
        <v>13141</v>
      </c>
      <c r="W927" t="s">
        <v>13142</v>
      </c>
      <c r="X927" t="s">
        <v>13143</v>
      </c>
      <c r="Y927" t="s">
        <v>13144</v>
      </c>
      <c r="Z927" t="s">
        <v>13145</v>
      </c>
      <c r="AA927" t="s">
        <v>13146</v>
      </c>
      <c r="AB927" t="s">
        <v>13147</v>
      </c>
      <c r="AC927" t="s">
        <v>74</v>
      </c>
      <c r="AD927" t="s">
        <v>74</v>
      </c>
      <c r="AE927" t="s">
        <v>74</v>
      </c>
      <c r="AF927" t="s">
        <v>74</v>
      </c>
      <c r="AG927">
        <v>48</v>
      </c>
      <c r="AH927">
        <v>27</v>
      </c>
      <c r="AI927">
        <v>32</v>
      </c>
      <c r="AJ927">
        <v>4</v>
      </c>
      <c r="AK927">
        <v>21</v>
      </c>
      <c r="AL927" t="s">
        <v>255</v>
      </c>
      <c r="AM927" t="s">
        <v>256</v>
      </c>
      <c r="AN927" t="s">
        <v>257</v>
      </c>
      <c r="AO927" t="s">
        <v>13148</v>
      </c>
      <c r="AP927" t="s">
        <v>74</v>
      </c>
      <c r="AQ927" t="s">
        <v>74</v>
      </c>
      <c r="AR927" t="s">
        <v>13149</v>
      </c>
      <c r="AS927" t="s">
        <v>13150</v>
      </c>
      <c r="AT927" t="s">
        <v>74</v>
      </c>
      <c r="AU927">
        <v>2005</v>
      </c>
      <c r="AV927">
        <v>36</v>
      </c>
      <c r="AW927">
        <v>5</v>
      </c>
      <c r="AX927" t="s">
        <v>74</v>
      </c>
      <c r="AY927" t="s">
        <v>74</v>
      </c>
      <c r="AZ927" t="s">
        <v>74</v>
      </c>
      <c r="BA927" t="s">
        <v>74</v>
      </c>
      <c r="BB927">
        <v>727</v>
      </c>
      <c r="BC927">
        <v>738</v>
      </c>
      <c r="BD927" t="s">
        <v>74</v>
      </c>
      <c r="BE927" t="s">
        <v>13151</v>
      </c>
      <c r="BF927" t="str">
        <f>HYPERLINK("http://dx.doi.org/10.1016/j.orggeochem.2005.01.003","http://dx.doi.org/10.1016/j.orggeochem.2005.01.003")</f>
        <v>http://dx.doi.org/10.1016/j.orggeochem.2005.01.003</v>
      </c>
      <c r="BG927" t="s">
        <v>74</v>
      </c>
      <c r="BH927" t="s">
        <v>74</v>
      </c>
      <c r="BI927">
        <v>12</v>
      </c>
      <c r="BJ927" t="s">
        <v>381</v>
      </c>
      <c r="BK927" t="s">
        <v>514</v>
      </c>
      <c r="BL927" t="s">
        <v>381</v>
      </c>
      <c r="BM927" t="s">
        <v>13152</v>
      </c>
      <c r="BN927" t="s">
        <v>74</v>
      </c>
      <c r="BO927" t="s">
        <v>74</v>
      </c>
      <c r="BP927" t="s">
        <v>74</v>
      </c>
      <c r="BQ927" t="s">
        <v>74</v>
      </c>
      <c r="BR927" t="s">
        <v>97</v>
      </c>
      <c r="BS927" t="s">
        <v>13153</v>
      </c>
      <c r="BT927" t="str">
        <f>HYPERLINK("https%3A%2F%2Fwww.webofscience.com%2Fwos%2Fwoscc%2Ffull-record%2FWOS:000229323200005","View Full Record in Web of Science")</f>
        <v>View Full Record in Web of Science</v>
      </c>
    </row>
    <row r="928" spans="1:72" x14ac:dyDescent="0.15">
      <c r="A928" t="s">
        <v>72</v>
      </c>
      <c r="B928" t="s">
        <v>12026</v>
      </c>
      <c r="C928" t="s">
        <v>74</v>
      </c>
      <c r="D928" t="s">
        <v>74</v>
      </c>
      <c r="E928" t="s">
        <v>74</v>
      </c>
      <c r="F928" t="s">
        <v>12026</v>
      </c>
      <c r="G928" t="s">
        <v>74</v>
      </c>
      <c r="H928" t="s">
        <v>74</v>
      </c>
      <c r="I928" t="s">
        <v>13154</v>
      </c>
      <c r="J928" t="s">
        <v>13155</v>
      </c>
      <c r="K928" t="s">
        <v>74</v>
      </c>
      <c r="L928" t="s">
        <v>74</v>
      </c>
      <c r="M928" t="s">
        <v>77</v>
      </c>
      <c r="N928" t="s">
        <v>78</v>
      </c>
      <c r="O928" t="s">
        <v>74</v>
      </c>
      <c r="P928" t="s">
        <v>74</v>
      </c>
      <c r="Q928" t="s">
        <v>74</v>
      </c>
      <c r="R928" t="s">
        <v>74</v>
      </c>
      <c r="S928" t="s">
        <v>74</v>
      </c>
      <c r="T928" t="s">
        <v>13156</v>
      </c>
      <c r="U928" t="s">
        <v>12029</v>
      </c>
      <c r="V928" t="s">
        <v>13157</v>
      </c>
      <c r="W928" t="s">
        <v>13158</v>
      </c>
      <c r="X928" t="s">
        <v>12032</v>
      </c>
      <c r="Y928" t="s">
        <v>12033</v>
      </c>
      <c r="Z928" t="s">
        <v>12034</v>
      </c>
      <c r="AA928" t="s">
        <v>12035</v>
      </c>
      <c r="AB928" t="s">
        <v>12036</v>
      </c>
      <c r="AC928" t="s">
        <v>74</v>
      </c>
      <c r="AD928" t="s">
        <v>74</v>
      </c>
      <c r="AE928" t="s">
        <v>74</v>
      </c>
      <c r="AF928" t="s">
        <v>74</v>
      </c>
      <c r="AG928">
        <v>12</v>
      </c>
      <c r="AH928">
        <v>0</v>
      </c>
      <c r="AI928">
        <v>0</v>
      </c>
      <c r="AJ928">
        <v>0</v>
      </c>
      <c r="AK928">
        <v>0</v>
      </c>
      <c r="AL928" t="s">
        <v>1789</v>
      </c>
      <c r="AM928" t="s">
        <v>1790</v>
      </c>
      <c r="AN928" t="s">
        <v>1791</v>
      </c>
      <c r="AO928" t="s">
        <v>13159</v>
      </c>
      <c r="AP928" t="s">
        <v>13160</v>
      </c>
      <c r="AQ928" t="s">
        <v>74</v>
      </c>
      <c r="AR928" t="s">
        <v>13161</v>
      </c>
      <c r="AS928" t="s">
        <v>13162</v>
      </c>
      <c r="AT928" t="s">
        <v>74</v>
      </c>
      <c r="AU928">
        <v>2005</v>
      </c>
      <c r="AV928">
        <v>5</v>
      </c>
      <c r="AW928">
        <v>1</v>
      </c>
      <c r="AX928" t="s">
        <v>74</v>
      </c>
      <c r="AY928" t="s">
        <v>74</v>
      </c>
      <c r="AZ928" t="s">
        <v>74</v>
      </c>
      <c r="BA928" t="s">
        <v>74</v>
      </c>
      <c r="BB928" t="s">
        <v>74</v>
      </c>
      <c r="BC928" t="s">
        <v>74</v>
      </c>
      <c r="BD928" t="s">
        <v>74</v>
      </c>
      <c r="BE928" t="s">
        <v>74</v>
      </c>
      <c r="BF928" t="s">
        <v>74</v>
      </c>
      <c r="BG928" t="s">
        <v>74</v>
      </c>
      <c r="BH928" t="s">
        <v>74</v>
      </c>
      <c r="BI928">
        <v>15</v>
      </c>
      <c r="BJ928" t="s">
        <v>13163</v>
      </c>
      <c r="BK928" t="s">
        <v>95</v>
      </c>
      <c r="BL928" t="s">
        <v>13163</v>
      </c>
      <c r="BM928" t="s">
        <v>13164</v>
      </c>
      <c r="BN928" t="s">
        <v>74</v>
      </c>
      <c r="BO928" t="s">
        <v>74</v>
      </c>
      <c r="BP928" t="s">
        <v>74</v>
      </c>
      <c r="BQ928" t="s">
        <v>74</v>
      </c>
      <c r="BR928" t="s">
        <v>97</v>
      </c>
      <c r="BS928" t="s">
        <v>13165</v>
      </c>
      <c r="BT928" t="str">
        <f>HYPERLINK("https%3A%2F%2Fwww.webofscience.com%2Fwos%2Fwoscc%2Ffull-record%2FWOS:000229538400006","View Full Record in Web of Science")</f>
        <v>View Full Record in Web of Science</v>
      </c>
    </row>
    <row r="929" spans="1:72" x14ac:dyDescent="0.15">
      <c r="A929" t="s">
        <v>72</v>
      </c>
      <c r="B929" t="s">
        <v>13166</v>
      </c>
      <c r="C929" t="s">
        <v>74</v>
      </c>
      <c r="D929" t="s">
        <v>74</v>
      </c>
      <c r="E929" t="s">
        <v>74</v>
      </c>
      <c r="F929" t="s">
        <v>13166</v>
      </c>
      <c r="G929" t="s">
        <v>74</v>
      </c>
      <c r="H929" t="s">
        <v>74</v>
      </c>
      <c r="I929" t="s">
        <v>13167</v>
      </c>
      <c r="J929" t="s">
        <v>13168</v>
      </c>
      <c r="K929" t="s">
        <v>74</v>
      </c>
      <c r="L929" t="s">
        <v>74</v>
      </c>
      <c r="M929" t="s">
        <v>77</v>
      </c>
      <c r="N929" t="s">
        <v>78</v>
      </c>
      <c r="O929" t="s">
        <v>74</v>
      </c>
      <c r="P929" t="s">
        <v>74</v>
      </c>
      <c r="Q929" t="s">
        <v>74</v>
      </c>
      <c r="R929" t="s">
        <v>74</v>
      </c>
      <c r="S929" t="s">
        <v>74</v>
      </c>
      <c r="T929" t="s">
        <v>74</v>
      </c>
      <c r="U929" t="s">
        <v>13169</v>
      </c>
      <c r="V929" t="s">
        <v>13170</v>
      </c>
      <c r="W929" t="s">
        <v>13171</v>
      </c>
      <c r="X929" t="s">
        <v>13172</v>
      </c>
      <c r="Y929" t="s">
        <v>13173</v>
      </c>
      <c r="Z929" t="s">
        <v>13174</v>
      </c>
      <c r="AA929" t="s">
        <v>13175</v>
      </c>
      <c r="AB929" t="s">
        <v>13176</v>
      </c>
      <c r="AC929" t="s">
        <v>74</v>
      </c>
      <c r="AD929" t="s">
        <v>74</v>
      </c>
      <c r="AE929" t="s">
        <v>74</v>
      </c>
      <c r="AF929" t="s">
        <v>74</v>
      </c>
      <c r="AG929">
        <v>46</v>
      </c>
      <c r="AH929">
        <v>13</v>
      </c>
      <c r="AI929">
        <v>13</v>
      </c>
      <c r="AJ929">
        <v>0</v>
      </c>
      <c r="AK929">
        <v>11</v>
      </c>
      <c r="AL929" t="s">
        <v>8303</v>
      </c>
      <c r="AM929" t="s">
        <v>1813</v>
      </c>
      <c r="AN929" t="s">
        <v>8304</v>
      </c>
      <c r="AO929" t="s">
        <v>13177</v>
      </c>
      <c r="AP929" t="s">
        <v>13178</v>
      </c>
      <c r="AQ929" t="s">
        <v>74</v>
      </c>
      <c r="AR929" t="s">
        <v>13179</v>
      </c>
      <c r="AS929" t="s">
        <v>13180</v>
      </c>
      <c r="AT929" t="s">
        <v>74</v>
      </c>
      <c r="AU929">
        <v>2005</v>
      </c>
      <c r="AV929">
        <v>4</v>
      </c>
      <c r="AW929">
        <v>4</v>
      </c>
      <c r="AX929" t="s">
        <v>74</v>
      </c>
      <c r="AY929" t="s">
        <v>74</v>
      </c>
      <c r="AZ929" t="s">
        <v>74</v>
      </c>
      <c r="BA929" t="s">
        <v>74</v>
      </c>
      <c r="BB929">
        <v>376</v>
      </c>
      <c r="BC929">
        <v>382</v>
      </c>
      <c r="BD929" t="s">
        <v>74</v>
      </c>
      <c r="BE929" t="s">
        <v>13181</v>
      </c>
      <c r="BF929" t="str">
        <f>HYPERLINK("http://dx.doi.org/10.1039/b418938h","http://dx.doi.org/10.1039/b418938h")</f>
        <v>http://dx.doi.org/10.1039/b418938h</v>
      </c>
      <c r="BG929" t="s">
        <v>74</v>
      </c>
      <c r="BH929" t="s">
        <v>74</v>
      </c>
      <c r="BI929">
        <v>7</v>
      </c>
      <c r="BJ929" t="s">
        <v>13182</v>
      </c>
      <c r="BK929" t="s">
        <v>95</v>
      </c>
      <c r="BL929" t="s">
        <v>13183</v>
      </c>
      <c r="BM929" t="s">
        <v>13184</v>
      </c>
      <c r="BN929">
        <v>15803208</v>
      </c>
      <c r="BO929" t="s">
        <v>74</v>
      </c>
      <c r="BP929" t="s">
        <v>74</v>
      </c>
      <c r="BQ929" t="s">
        <v>74</v>
      </c>
      <c r="BR929" t="s">
        <v>97</v>
      </c>
      <c r="BS929" t="s">
        <v>13185</v>
      </c>
      <c r="BT929" t="str">
        <f>HYPERLINK("https%3A%2F%2Fwww.webofscience.com%2Fwos%2Fwoscc%2Ffull-record%2FWOS:000228066400007","View Full Record in Web of Science")</f>
        <v>View Full Record in Web of Science</v>
      </c>
    </row>
    <row r="930" spans="1:72" x14ac:dyDescent="0.15">
      <c r="A930" t="s">
        <v>72</v>
      </c>
      <c r="B930" t="s">
        <v>13186</v>
      </c>
      <c r="C930" t="s">
        <v>74</v>
      </c>
      <c r="D930" t="s">
        <v>74</v>
      </c>
      <c r="E930" t="s">
        <v>74</v>
      </c>
      <c r="F930" t="s">
        <v>13186</v>
      </c>
      <c r="G930" t="s">
        <v>74</v>
      </c>
      <c r="H930" t="s">
        <v>74</v>
      </c>
      <c r="I930" t="s">
        <v>13187</v>
      </c>
      <c r="J930" t="s">
        <v>3840</v>
      </c>
      <c r="K930" t="s">
        <v>74</v>
      </c>
      <c r="L930" t="s">
        <v>74</v>
      </c>
      <c r="M930" t="s">
        <v>77</v>
      </c>
      <c r="N930" t="s">
        <v>78</v>
      </c>
      <c r="O930" t="s">
        <v>74</v>
      </c>
      <c r="P930" t="s">
        <v>74</v>
      </c>
      <c r="Q930" t="s">
        <v>74</v>
      </c>
      <c r="R930" t="s">
        <v>74</v>
      </c>
      <c r="S930" t="s">
        <v>74</v>
      </c>
      <c r="T930" t="s">
        <v>74</v>
      </c>
      <c r="U930" t="s">
        <v>13188</v>
      </c>
      <c r="V930" t="s">
        <v>13189</v>
      </c>
      <c r="W930" t="s">
        <v>13190</v>
      </c>
      <c r="X930" t="s">
        <v>13191</v>
      </c>
      <c r="Y930" t="s">
        <v>13192</v>
      </c>
      <c r="Z930" t="s">
        <v>13193</v>
      </c>
      <c r="AA930" t="s">
        <v>13194</v>
      </c>
      <c r="AB930" t="s">
        <v>13195</v>
      </c>
      <c r="AC930" t="s">
        <v>74</v>
      </c>
      <c r="AD930" t="s">
        <v>74</v>
      </c>
      <c r="AE930" t="s">
        <v>74</v>
      </c>
      <c r="AF930" t="s">
        <v>74</v>
      </c>
      <c r="AG930">
        <v>37</v>
      </c>
      <c r="AH930">
        <v>24</v>
      </c>
      <c r="AI930">
        <v>24</v>
      </c>
      <c r="AJ930">
        <v>0</v>
      </c>
      <c r="AK930">
        <v>4</v>
      </c>
      <c r="AL930" t="s">
        <v>472</v>
      </c>
      <c r="AM930" t="s">
        <v>473</v>
      </c>
      <c r="AN930" t="s">
        <v>474</v>
      </c>
      <c r="AO930" t="s">
        <v>3850</v>
      </c>
      <c r="AP930" t="s">
        <v>6815</v>
      </c>
      <c r="AQ930" t="s">
        <v>74</v>
      </c>
      <c r="AR930" t="s">
        <v>3851</v>
      </c>
      <c r="AS930" t="s">
        <v>3852</v>
      </c>
      <c r="AT930" t="s">
        <v>10124</v>
      </c>
      <c r="AU930">
        <v>2005</v>
      </c>
      <c r="AV930">
        <v>81</v>
      </c>
      <c r="AW930">
        <v>1</v>
      </c>
      <c r="AX930" t="s">
        <v>74</v>
      </c>
      <c r="AY930" t="s">
        <v>74</v>
      </c>
      <c r="AZ930" t="s">
        <v>74</v>
      </c>
      <c r="BA930" t="s">
        <v>74</v>
      </c>
      <c r="BB930">
        <v>154</v>
      </c>
      <c r="BC930">
        <v>162</v>
      </c>
      <c r="BD930" t="s">
        <v>74</v>
      </c>
      <c r="BE930" t="s">
        <v>13196</v>
      </c>
      <c r="BF930" t="str">
        <f>HYPERLINK("http://dx.doi.org/10.1562/2003-12-03-RA-019.1","http://dx.doi.org/10.1562/2003-12-03-RA-019.1")</f>
        <v>http://dx.doi.org/10.1562/2003-12-03-RA-019.1</v>
      </c>
      <c r="BG930" t="s">
        <v>74</v>
      </c>
      <c r="BH930" t="s">
        <v>74</v>
      </c>
      <c r="BI930">
        <v>9</v>
      </c>
      <c r="BJ930" t="s">
        <v>3854</v>
      </c>
      <c r="BK930" t="s">
        <v>95</v>
      </c>
      <c r="BL930" t="s">
        <v>3854</v>
      </c>
      <c r="BM930" t="s">
        <v>13197</v>
      </c>
      <c r="BN930">
        <v>15453822</v>
      </c>
      <c r="BO930" t="s">
        <v>74</v>
      </c>
      <c r="BP930" t="s">
        <v>74</v>
      </c>
      <c r="BQ930" t="s">
        <v>74</v>
      </c>
      <c r="BR930" t="s">
        <v>97</v>
      </c>
      <c r="BS930" t="s">
        <v>13198</v>
      </c>
      <c r="BT930" t="str">
        <f>HYPERLINK("https%3A%2F%2Fwww.webofscience.com%2Fwos%2Fwoscc%2Ffull-record%2FWOS:000227106800022","View Full Record in Web of Science")</f>
        <v>View Full Record in Web of Science</v>
      </c>
    </row>
    <row r="931" spans="1:72" x14ac:dyDescent="0.15">
      <c r="A931" t="s">
        <v>72</v>
      </c>
      <c r="B931" t="s">
        <v>13199</v>
      </c>
      <c r="C931" t="s">
        <v>74</v>
      </c>
      <c r="D931" t="s">
        <v>74</v>
      </c>
      <c r="E931" t="s">
        <v>74</v>
      </c>
      <c r="F931" t="s">
        <v>13199</v>
      </c>
      <c r="G931" t="s">
        <v>74</v>
      </c>
      <c r="H931" t="s">
        <v>74</v>
      </c>
      <c r="I931" t="s">
        <v>13200</v>
      </c>
      <c r="J931" t="s">
        <v>13201</v>
      </c>
      <c r="K931" t="s">
        <v>74</v>
      </c>
      <c r="L931" t="s">
        <v>74</v>
      </c>
      <c r="M931" t="s">
        <v>77</v>
      </c>
      <c r="N931" t="s">
        <v>78</v>
      </c>
      <c r="O931" t="s">
        <v>74</v>
      </c>
      <c r="P931" t="s">
        <v>74</v>
      </c>
      <c r="Q931" t="s">
        <v>74</v>
      </c>
      <c r="R931" t="s">
        <v>74</v>
      </c>
      <c r="S931" t="s">
        <v>74</v>
      </c>
      <c r="T931" t="s">
        <v>13202</v>
      </c>
      <c r="U931" t="s">
        <v>13203</v>
      </c>
      <c r="V931" t="s">
        <v>13204</v>
      </c>
      <c r="W931" t="s">
        <v>13205</v>
      </c>
      <c r="X931" t="s">
        <v>13206</v>
      </c>
      <c r="Y931" t="s">
        <v>2168</v>
      </c>
      <c r="Z931" t="s">
        <v>4773</v>
      </c>
      <c r="AA931" t="s">
        <v>13207</v>
      </c>
      <c r="AB931" t="s">
        <v>13208</v>
      </c>
      <c r="AC931" t="s">
        <v>74</v>
      </c>
      <c r="AD931" t="s">
        <v>74</v>
      </c>
      <c r="AE931" t="s">
        <v>74</v>
      </c>
      <c r="AF931" t="s">
        <v>74</v>
      </c>
      <c r="AG931">
        <v>53</v>
      </c>
      <c r="AH931">
        <v>20</v>
      </c>
      <c r="AI931">
        <v>25</v>
      </c>
      <c r="AJ931">
        <v>0</v>
      </c>
      <c r="AK931">
        <v>15</v>
      </c>
      <c r="AL931" t="s">
        <v>133</v>
      </c>
      <c r="AM931" t="s">
        <v>374</v>
      </c>
      <c r="AN931" t="s">
        <v>375</v>
      </c>
      <c r="AO931" t="s">
        <v>13209</v>
      </c>
      <c r="AP931" t="s">
        <v>13210</v>
      </c>
      <c r="AQ931" t="s">
        <v>74</v>
      </c>
      <c r="AR931" t="s">
        <v>13211</v>
      </c>
      <c r="AS931" t="s">
        <v>13212</v>
      </c>
      <c r="AT931" t="s">
        <v>9676</v>
      </c>
      <c r="AU931">
        <v>2005</v>
      </c>
      <c r="AV931">
        <v>83</v>
      </c>
      <c r="AW931">
        <v>1</v>
      </c>
      <c r="AX931" t="s">
        <v>74</v>
      </c>
      <c r="AY931" t="s">
        <v>74</v>
      </c>
      <c r="AZ931" t="s">
        <v>74</v>
      </c>
      <c r="BA931" t="s">
        <v>74</v>
      </c>
      <c r="BB931">
        <v>75</v>
      </c>
      <c r="BC931">
        <v>86</v>
      </c>
      <c r="BD931" t="s">
        <v>74</v>
      </c>
      <c r="BE931" t="s">
        <v>13213</v>
      </c>
      <c r="BF931" t="str">
        <f>HYPERLINK("http://dx.doi.org/10.1007/s11120-004-4277-3","http://dx.doi.org/10.1007/s11120-004-4277-3")</f>
        <v>http://dx.doi.org/10.1007/s11120-004-4277-3</v>
      </c>
      <c r="BG931" t="s">
        <v>74</v>
      </c>
      <c r="BH931" t="s">
        <v>74</v>
      </c>
      <c r="BI931">
        <v>12</v>
      </c>
      <c r="BJ931" t="s">
        <v>4781</v>
      </c>
      <c r="BK931" t="s">
        <v>95</v>
      </c>
      <c r="BL931" t="s">
        <v>4781</v>
      </c>
      <c r="BM931" t="s">
        <v>13214</v>
      </c>
      <c r="BN931">
        <v>16143909</v>
      </c>
      <c r="BO931" t="s">
        <v>74</v>
      </c>
      <c r="BP931" t="s">
        <v>74</v>
      </c>
      <c r="BQ931" t="s">
        <v>74</v>
      </c>
      <c r="BR931" t="s">
        <v>97</v>
      </c>
      <c r="BS931" t="s">
        <v>13215</v>
      </c>
      <c r="BT931" t="str">
        <f>HYPERLINK("https%3A%2F%2Fwww.webofscience.com%2Fwos%2Fwoscc%2Ffull-record%2FWOS:000227423900010","View Full Record in Web of Science")</f>
        <v>View Full Record in Web of Science</v>
      </c>
    </row>
    <row r="932" spans="1:72" x14ac:dyDescent="0.15">
      <c r="A932" t="s">
        <v>72</v>
      </c>
      <c r="B932" t="s">
        <v>13216</v>
      </c>
      <c r="C932" t="s">
        <v>74</v>
      </c>
      <c r="D932" t="s">
        <v>74</v>
      </c>
      <c r="E932" t="s">
        <v>74</v>
      </c>
      <c r="F932" t="s">
        <v>13216</v>
      </c>
      <c r="G932" t="s">
        <v>74</v>
      </c>
      <c r="H932" t="s">
        <v>74</v>
      </c>
      <c r="I932" t="s">
        <v>13217</v>
      </c>
      <c r="J932" t="s">
        <v>13218</v>
      </c>
      <c r="K932" t="s">
        <v>74</v>
      </c>
      <c r="L932" t="s">
        <v>74</v>
      </c>
      <c r="M932" t="s">
        <v>77</v>
      </c>
      <c r="N932" t="s">
        <v>5909</v>
      </c>
      <c r="O932" t="s">
        <v>74</v>
      </c>
      <c r="P932" t="s">
        <v>74</v>
      </c>
      <c r="Q932" t="s">
        <v>74</v>
      </c>
      <c r="R932" t="s">
        <v>74</v>
      </c>
      <c r="S932" t="s">
        <v>74</v>
      </c>
      <c r="T932" t="s">
        <v>74</v>
      </c>
      <c r="U932" t="s">
        <v>74</v>
      </c>
      <c r="V932" t="s">
        <v>74</v>
      </c>
      <c r="W932" t="s">
        <v>74</v>
      </c>
      <c r="X932" t="s">
        <v>74</v>
      </c>
      <c r="Y932" t="s">
        <v>74</v>
      </c>
      <c r="Z932" t="s">
        <v>74</v>
      </c>
      <c r="AA932" t="s">
        <v>74</v>
      </c>
      <c r="AB932" t="s">
        <v>74</v>
      </c>
      <c r="AC932" t="s">
        <v>74</v>
      </c>
      <c r="AD932" t="s">
        <v>74</v>
      </c>
      <c r="AE932" t="s">
        <v>74</v>
      </c>
      <c r="AF932" t="s">
        <v>74</v>
      </c>
      <c r="AG932">
        <v>0</v>
      </c>
      <c r="AH932">
        <v>0</v>
      </c>
      <c r="AI932">
        <v>0</v>
      </c>
      <c r="AJ932">
        <v>0</v>
      </c>
      <c r="AK932">
        <v>0</v>
      </c>
      <c r="AL932" t="s">
        <v>13219</v>
      </c>
      <c r="AM932" t="s">
        <v>1911</v>
      </c>
      <c r="AN932" t="s">
        <v>2504</v>
      </c>
      <c r="AO932" t="s">
        <v>13220</v>
      </c>
      <c r="AP932" t="s">
        <v>74</v>
      </c>
      <c r="AQ932" t="s">
        <v>74</v>
      </c>
      <c r="AR932" t="s">
        <v>13221</v>
      </c>
      <c r="AS932" t="s">
        <v>13222</v>
      </c>
      <c r="AT932" t="s">
        <v>9676</v>
      </c>
      <c r="AU932">
        <v>2005</v>
      </c>
      <c r="AV932">
        <v>18</v>
      </c>
      <c r="AW932">
        <v>1</v>
      </c>
      <c r="AX932" t="s">
        <v>74</v>
      </c>
      <c r="AY932" t="s">
        <v>74</v>
      </c>
      <c r="AZ932" t="s">
        <v>74</v>
      </c>
      <c r="BA932" t="s">
        <v>74</v>
      </c>
      <c r="BB932">
        <v>7</v>
      </c>
      <c r="BC932">
        <v>7</v>
      </c>
      <c r="BD932" t="s">
        <v>74</v>
      </c>
      <c r="BE932" t="s">
        <v>74</v>
      </c>
      <c r="BF932" t="s">
        <v>74</v>
      </c>
      <c r="BG932" t="s">
        <v>74</v>
      </c>
      <c r="BH932" t="s">
        <v>74</v>
      </c>
      <c r="BI932">
        <v>1</v>
      </c>
      <c r="BJ932" t="s">
        <v>13223</v>
      </c>
      <c r="BK932" t="s">
        <v>95</v>
      </c>
      <c r="BL932" t="s">
        <v>990</v>
      </c>
      <c r="BM932" t="s">
        <v>13224</v>
      </c>
      <c r="BN932" t="s">
        <v>74</v>
      </c>
      <c r="BO932" t="s">
        <v>74</v>
      </c>
      <c r="BP932" t="s">
        <v>74</v>
      </c>
      <c r="BQ932" t="s">
        <v>74</v>
      </c>
      <c r="BR932" t="s">
        <v>97</v>
      </c>
      <c r="BS932" t="s">
        <v>13225</v>
      </c>
      <c r="BT932" t="str">
        <f>HYPERLINK("https%3A%2F%2Fwww.webofscience.com%2Fwos%2Fwoscc%2Ffull-record%2FWOS:000226894400008","View Full Record in Web of Science")</f>
        <v>View Full Record in Web of Science</v>
      </c>
    </row>
    <row r="933" spans="1:72" x14ac:dyDescent="0.15">
      <c r="A933" t="s">
        <v>1269</v>
      </c>
      <c r="B933" t="s">
        <v>13226</v>
      </c>
      <c r="C933" t="s">
        <v>13227</v>
      </c>
      <c r="D933" t="s">
        <v>13228</v>
      </c>
      <c r="E933" t="s">
        <v>74</v>
      </c>
      <c r="F933" t="s">
        <v>13229</v>
      </c>
      <c r="G933" t="s">
        <v>13227</v>
      </c>
      <c r="H933" t="s">
        <v>74</v>
      </c>
      <c r="I933" t="s">
        <v>13230</v>
      </c>
      <c r="J933" t="s">
        <v>13231</v>
      </c>
      <c r="K933" t="s">
        <v>13232</v>
      </c>
      <c r="L933" t="s">
        <v>74</v>
      </c>
      <c r="M933" t="s">
        <v>77</v>
      </c>
      <c r="N933" t="s">
        <v>8991</v>
      </c>
      <c r="O933" t="s">
        <v>74</v>
      </c>
      <c r="P933" t="s">
        <v>74</v>
      </c>
      <c r="Q933" t="s">
        <v>74</v>
      </c>
      <c r="R933" t="s">
        <v>74</v>
      </c>
      <c r="S933" t="s">
        <v>74</v>
      </c>
      <c r="T933" t="s">
        <v>13233</v>
      </c>
      <c r="U933" t="s">
        <v>13234</v>
      </c>
      <c r="V933" t="s">
        <v>13235</v>
      </c>
      <c r="W933" t="s">
        <v>13236</v>
      </c>
      <c r="X933" t="s">
        <v>13237</v>
      </c>
      <c r="Y933" t="s">
        <v>13238</v>
      </c>
      <c r="Z933" t="s">
        <v>13239</v>
      </c>
      <c r="AA933" t="s">
        <v>10750</v>
      </c>
      <c r="AB933" t="s">
        <v>13240</v>
      </c>
      <c r="AC933" t="s">
        <v>74</v>
      </c>
      <c r="AD933" t="s">
        <v>74</v>
      </c>
      <c r="AE933" t="s">
        <v>74</v>
      </c>
      <c r="AF933" t="s">
        <v>74</v>
      </c>
      <c r="AG933">
        <v>86</v>
      </c>
      <c r="AH933">
        <v>32</v>
      </c>
      <c r="AI933">
        <v>36</v>
      </c>
      <c r="AJ933">
        <v>0</v>
      </c>
      <c r="AK933">
        <v>1</v>
      </c>
      <c r="AL933" t="s">
        <v>13241</v>
      </c>
      <c r="AM933" t="s">
        <v>1630</v>
      </c>
      <c r="AN933" t="s">
        <v>13242</v>
      </c>
      <c r="AO933" t="s">
        <v>13243</v>
      </c>
      <c r="AP933" t="s">
        <v>74</v>
      </c>
      <c r="AQ933" t="s">
        <v>13244</v>
      </c>
      <c r="AR933" t="s">
        <v>13245</v>
      </c>
      <c r="AS933" t="s">
        <v>74</v>
      </c>
      <c r="AT933" t="s">
        <v>74</v>
      </c>
      <c r="AU933">
        <v>2005</v>
      </c>
      <c r="AV933">
        <v>388</v>
      </c>
      <c r="AW933" t="s">
        <v>74</v>
      </c>
      <c r="AX933" t="s">
        <v>74</v>
      </c>
      <c r="AY933" t="s">
        <v>74</v>
      </c>
      <c r="AZ933" t="s">
        <v>74</v>
      </c>
      <c r="BA933" t="s">
        <v>74</v>
      </c>
      <c r="BB933" t="s">
        <v>74</v>
      </c>
      <c r="BC933" t="s">
        <v>74</v>
      </c>
      <c r="BD933" t="s">
        <v>74</v>
      </c>
      <c r="BE933" t="s">
        <v>13246</v>
      </c>
      <c r="BF933" t="str">
        <f>HYPERLINK("http://dx.doi.org/10.1130/2005.2388(26)","http://dx.doi.org/10.1130/2005.2388(26)")</f>
        <v>http://dx.doi.org/10.1130/2005.2388(26)</v>
      </c>
      <c r="BG933" t="s">
        <v>74</v>
      </c>
      <c r="BH933" t="s">
        <v>74</v>
      </c>
      <c r="BI933">
        <v>13</v>
      </c>
      <c r="BJ933" t="s">
        <v>13247</v>
      </c>
      <c r="BK933" t="s">
        <v>9004</v>
      </c>
      <c r="BL933" t="s">
        <v>13248</v>
      </c>
      <c r="BM933" t="s">
        <v>13249</v>
      </c>
      <c r="BN933" t="s">
        <v>74</v>
      </c>
      <c r="BO933" t="s">
        <v>74</v>
      </c>
      <c r="BP933" t="s">
        <v>74</v>
      </c>
      <c r="BQ933" t="s">
        <v>74</v>
      </c>
      <c r="BR933" t="s">
        <v>97</v>
      </c>
      <c r="BS933" t="s">
        <v>13250</v>
      </c>
      <c r="BT933" t="str">
        <f>HYPERLINK("https%3A%2F%2Fwww.webofscience.com%2Fwos%2Fwoscc%2Ffull-record%2FWOS:000271372500027","View Full Record in Web of Science")</f>
        <v>View Full Record in Web of Science</v>
      </c>
    </row>
    <row r="934" spans="1:72" x14ac:dyDescent="0.15">
      <c r="A934" t="s">
        <v>72</v>
      </c>
      <c r="B934" t="s">
        <v>13251</v>
      </c>
      <c r="C934" t="s">
        <v>74</v>
      </c>
      <c r="D934" t="s">
        <v>74</v>
      </c>
      <c r="E934" t="s">
        <v>74</v>
      </c>
      <c r="F934" t="s">
        <v>13251</v>
      </c>
      <c r="G934" t="s">
        <v>74</v>
      </c>
      <c r="H934" t="s">
        <v>74</v>
      </c>
      <c r="I934" t="s">
        <v>13252</v>
      </c>
      <c r="J934" t="s">
        <v>124</v>
      </c>
      <c r="K934" t="s">
        <v>74</v>
      </c>
      <c r="L934" t="s">
        <v>74</v>
      </c>
      <c r="M934" t="s">
        <v>77</v>
      </c>
      <c r="N934" t="s">
        <v>365</v>
      </c>
      <c r="O934" t="s">
        <v>74</v>
      </c>
      <c r="P934" t="s">
        <v>74</v>
      </c>
      <c r="Q934" t="s">
        <v>74</v>
      </c>
      <c r="R934" t="s">
        <v>74</v>
      </c>
      <c r="S934" t="s">
        <v>74</v>
      </c>
      <c r="T934" t="s">
        <v>74</v>
      </c>
      <c r="U934" t="s">
        <v>13253</v>
      </c>
      <c r="V934" t="s">
        <v>13254</v>
      </c>
      <c r="W934" t="s">
        <v>13255</v>
      </c>
      <c r="X934" t="s">
        <v>13256</v>
      </c>
      <c r="Y934" t="s">
        <v>13257</v>
      </c>
      <c r="Z934" t="s">
        <v>13258</v>
      </c>
      <c r="AA934" t="s">
        <v>13259</v>
      </c>
      <c r="AB934" t="s">
        <v>13260</v>
      </c>
      <c r="AC934" t="s">
        <v>74</v>
      </c>
      <c r="AD934" t="s">
        <v>74</v>
      </c>
      <c r="AE934" t="s">
        <v>74</v>
      </c>
      <c r="AF934" t="s">
        <v>74</v>
      </c>
      <c r="AG934">
        <v>138</v>
      </c>
      <c r="AH934">
        <v>318</v>
      </c>
      <c r="AI934">
        <v>367</v>
      </c>
      <c r="AJ934">
        <v>4</v>
      </c>
      <c r="AK934">
        <v>88</v>
      </c>
      <c r="AL934" t="s">
        <v>133</v>
      </c>
      <c r="AM934" t="s">
        <v>134</v>
      </c>
      <c r="AN934" t="s">
        <v>181</v>
      </c>
      <c r="AO934" t="s">
        <v>136</v>
      </c>
      <c r="AP934" t="s">
        <v>156</v>
      </c>
      <c r="AQ934" t="s">
        <v>74</v>
      </c>
      <c r="AR934" t="s">
        <v>137</v>
      </c>
      <c r="AS934" t="s">
        <v>138</v>
      </c>
      <c r="AT934" t="s">
        <v>9676</v>
      </c>
      <c r="AU934">
        <v>2005</v>
      </c>
      <c r="AV934">
        <v>28</v>
      </c>
      <c r="AW934">
        <v>2</v>
      </c>
      <c r="AX934" t="s">
        <v>74</v>
      </c>
      <c r="AY934" t="s">
        <v>74</v>
      </c>
      <c r="AZ934" t="s">
        <v>74</v>
      </c>
      <c r="BA934" t="s">
        <v>74</v>
      </c>
      <c r="BB934">
        <v>93</v>
      </c>
      <c r="BC934">
        <v>107</v>
      </c>
      <c r="BD934" t="s">
        <v>74</v>
      </c>
      <c r="BE934" t="s">
        <v>13261</v>
      </c>
      <c r="BF934" t="str">
        <f>HYPERLINK("http://dx.doi.org/10.1007/s00300-004-0667-4","http://dx.doi.org/10.1007/s00300-004-0667-4")</f>
        <v>http://dx.doi.org/10.1007/s00300-004-0667-4</v>
      </c>
      <c r="BG934" t="s">
        <v>74</v>
      </c>
      <c r="BH934" t="s">
        <v>74</v>
      </c>
      <c r="BI934">
        <v>15</v>
      </c>
      <c r="BJ934" t="s">
        <v>140</v>
      </c>
      <c r="BK934" t="s">
        <v>95</v>
      </c>
      <c r="BL934" t="s">
        <v>141</v>
      </c>
      <c r="BM934" t="s">
        <v>13262</v>
      </c>
      <c r="BN934" t="s">
        <v>74</v>
      </c>
      <c r="BO934" t="s">
        <v>74</v>
      </c>
      <c r="BP934" t="s">
        <v>74</v>
      </c>
      <c r="BQ934" t="s">
        <v>74</v>
      </c>
      <c r="BR934" t="s">
        <v>97</v>
      </c>
      <c r="BS934" t="s">
        <v>13263</v>
      </c>
      <c r="BT934" t="str">
        <f>HYPERLINK("https%3A%2F%2Fwww.webofscience.com%2Fwos%2Fwoscc%2Ffull-record%2FWOS:000226314600001","View Full Record in Web of Science")</f>
        <v>View Full Record in Web of Science</v>
      </c>
    </row>
    <row r="935" spans="1:72" x14ac:dyDescent="0.15">
      <c r="A935" t="s">
        <v>72</v>
      </c>
      <c r="B935" t="s">
        <v>13264</v>
      </c>
      <c r="C935" t="s">
        <v>74</v>
      </c>
      <c r="D935" t="s">
        <v>74</v>
      </c>
      <c r="E935" t="s">
        <v>74</v>
      </c>
      <c r="F935" t="s">
        <v>13264</v>
      </c>
      <c r="G935" t="s">
        <v>74</v>
      </c>
      <c r="H935" t="s">
        <v>74</v>
      </c>
      <c r="I935" t="s">
        <v>13265</v>
      </c>
      <c r="J935" t="s">
        <v>124</v>
      </c>
      <c r="K935" t="s">
        <v>74</v>
      </c>
      <c r="L935" t="s">
        <v>74</v>
      </c>
      <c r="M935" t="s">
        <v>77</v>
      </c>
      <c r="N935" t="s">
        <v>78</v>
      </c>
      <c r="O935" t="s">
        <v>74</v>
      </c>
      <c r="P935" t="s">
        <v>74</v>
      </c>
      <c r="Q935" t="s">
        <v>74</v>
      </c>
      <c r="R935" t="s">
        <v>74</v>
      </c>
      <c r="S935" t="s">
        <v>74</v>
      </c>
      <c r="T935" t="s">
        <v>74</v>
      </c>
      <c r="U935" t="s">
        <v>13266</v>
      </c>
      <c r="V935" t="s">
        <v>13267</v>
      </c>
      <c r="W935" t="s">
        <v>670</v>
      </c>
      <c r="X935" t="s">
        <v>671</v>
      </c>
      <c r="Y935" t="s">
        <v>230</v>
      </c>
      <c r="Z935" t="s">
        <v>7934</v>
      </c>
      <c r="AA935" t="s">
        <v>3078</v>
      </c>
      <c r="AB935" t="s">
        <v>3079</v>
      </c>
      <c r="AC935" t="s">
        <v>74</v>
      </c>
      <c r="AD935" t="s">
        <v>74</v>
      </c>
      <c r="AE935" t="s">
        <v>74</v>
      </c>
      <c r="AF935" t="s">
        <v>74</v>
      </c>
      <c r="AG935">
        <v>27</v>
      </c>
      <c r="AH935">
        <v>19</v>
      </c>
      <c r="AI935">
        <v>23</v>
      </c>
      <c r="AJ935">
        <v>0</v>
      </c>
      <c r="AK935">
        <v>5</v>
      </c>
      <c r="AL935" t="s">
        <v>133</v>
      </c>
      <c r="AM935" t="s">
        <v>134</v>
      </c>
      <c r="AN935" t="s">
        <v>181</v>
      </c>
      <c r="AO935" t="s">
        <v>136</v>
      </c>
      <c r="AP935" t="s">
        <v>156</v>
      </c>
      <c r="AQ935" t="s">
        <v>74</v>
      </c>
      <c r="AR935" t="s">
        <v>137</v>
      </c>
      <c r="AS935" t="s">
        <v>138</v>
      </c>
      <c r="AT935" t="s">
        <v>9676</v>
      </c>
      <c r="AU935">
        <v>2005</v>
      </c>
      <c r="AV935">
        <v>28</v>
      </c>
      <c r="AW935">
        <v>2</v>
      </c>
      <c r="AX935" t="s">
        <v>74</v>
      </c>
      <c r="AY935" t="s">
        <v>74</v>
      </c>
      <c r="AZ935" t="s">
        <v>74</v>
      </c>
      <c r="BA935" t="s">
        <v>74</v>
      </c>
      <c r="BB935">
        <v>108</v>
      </c>
      <c r="BC935">
        <v>110</v>
      </c>
      <c r="BD935" t="s">
        <v>74</v>
      </c>
      <c r="BE935" t="s">
        <v>13268</v>
      </c>
      <c r="BF935" t="str">
        <f>HYPERLINK("http://dx.doi.org/10.1007/s00300-004-0681-6","http://dx.doi.org/10.1007/s00300-004-0681-6")</f>
        <v>http://dx.doi.org/10.1007/s00300-004-0681-6</v>
      </c>
      <c r="BG935" t="s">
        <v>74</v>
      </c>
      <c r="BH935" t="s">
        <v>74</v>
      </c>
      <c r="BI935">
        <v>3</v>
      </c>
      <c r="BJ935" t="s">
        <v>140</v>
      </c>
      <c r="BK935" t="s">
        <v>95</v>
      </c>
      <c r="BL935" t="s">
        <v>141</v>
      </c>
      <c r="BM935" t="s">
        <v>13262</v>
      </c>
      <c r="BN935" t="s">
        <v>74</v>
      </c>
      <c r="BO935" t="s">
        <v>74</v>
      </c>
      <c r="BP935" t="s">
        <v>74</v>
      </c>
      <c r="BQ935" t="s">
        <v>74</v>
      </c>
      <c r="BR935" t="s">
        <v>97</v>
      </c>
      <c r="BS935" t="s">
        <v>13269</v>
      </c>
      <c r="BT935" t="str">
        <f>HYPERLINK("https%3A%2F%2Fwww.webofscience.com%2Fwos%2Fwoscc%2Ffull-record%2FWOS:000226314600002","View Full Record in Web of Science")</f>
        <v>View Full Record in Web of Science</v>
      </c>
    </row>
    <row r="936" spans="1:72" x14ac:dyDescent="0.15">
      <c r="A936" t="s">
        <v>72</v>
      </c>
      <c r="B936" t="s">
        <v>13270</v>
      </c>
      <c r="C936" t="s">
        <v>74</v>
      </c>
      <c r="D936" t="s">
        <v>74</v>
      </c>
      <c r="E936" t="s">
        <v>74</v>
      </c>
      <c r="F936" t="s">
        <v>13270</v>
      </c>
      <c r="G936" t="s">
        <v>74</v>
      </c>
      <c r="H936" t="s">
        <v>74</v>
      </c>
      <c r="I936" t="s">
        <v>13271</v>
      </c>
      <c r="J936" t="s">
        <v>124</v>
      </c>
      <c r="K936" t="s">
        <v>74</v>
      </c>
      <c r="L936" t="s">
        <v>74</v>
      </c>
      <c r="M936" t="s">
        <v>77</v>
      </c>
      <c r="N936" t="s">
        <v>78</v>
      </c>
      <c r="O936" t="s">
        <v>74</v>
      </c>
      <c r="P936" t="s">
        <v>74</v>
      </c>
      <c r="Q936" t="s">
        <v>74</v>
      </c>
      <c r="R936" t="s">
        <v>74</v>
      </c>
      <c r="S936" t="s">
        <v>74</v>
      </c>
      <c r="T936" t="s">
        <v>74</v>
      </c>
      <c r="U936" t="s">
        <v>13272</v>
      </c>
      <c r="V936" t="s">
        <v>13273</v>
      </c>
      <c r="W936" t="s">
        <v>13274</v>
      </c>
      <c r="X936" t="s">
        <v>13275</v>
      </c>
      <c r="Y936" t="s">
        <v>13276</v>
      </c>
      <c r="Z936" t="s">
        <v>13277</v>
      </c>
      <c r="AA936" t="s">
        <v>13278</v>
      </c>
      <c r="AB936" t="s">
        <v>13279</v>
      </c>
      <c r="AC936" t="s">
        <v>74</v>
      </c>
      <c r="AD936" t="s">
        <v>74</v>
      </c>
      <c r="AE936" t="s">
        <v>74</v>
      </c>
      <c r="AF936" t="s">
        <v>74</v>
      </c>
      <c r="AG936">
        <v>84</v>
      </c>
      <c r="AH936">
        <v>23</v>
      </c>
      <c r="AI936">
        <v>24</v>
      </c>
      <c r="AJ936">
        <v>0</v>
      </c>
      <c r="AK936">
        <v>6</v>
      </c>
      <c r="AL936" t="s">
        <v>133</v>
      </c>
      <c r="AM936" t="s">
        <v>134</v>
      </c>
      <c r="AN936" t="s">
        <v>135</v>
      </c>
      <c r="AO936" t="s">
        <v>136</v>
      </c>
      <c r="AP936" t="s">
        <v>74</v>
      </c>
      <c r="AQ936" t="s">
        <v>74</v>
      </c>
      <c r="AR936" t="s">
        <v>137</v>
      </c>
      <c r="AS936" t="s">
        <v>138</v>
      </c>
      <c r="AT936" t="s">
        <v>9676</v>
      </c>
      <c r="AU936">
        <v>2005</v>
      </c>
      <c r="AV936">
        <v>28</v>
      </c>
      <c r="AW936">
        <v>2</v>
      </c>
      <c r="AX936" t="s">
        <v>74</v>
      </c>
      <c r="AY936" t="s">
        <v>74</v>
      </c>
      <c r="AZ936" t="s">
        <v>74</v>
      </c>
      <c r="BA936" t="s">
        <v>74</v>
      </c>
      <c r="BB936">
        <v>119</v>
      </c>
      <c r="BC936">
        <v>131</v>
      </c>
      <c r="BD936" t="s">
        <v>74</v>
      </c>
      <c r="BE936" t="s">
        <v>13280</v>
      </c>
      <c r="BF936" t="str">
        <f>HYPERLINK("http://dx.doi.org/10.1007/s00300-004-0670-9","http://dx.doi.org/10.1007/s00300-004-0670-9")</f>
        <v>http://dx.doi.org/10.1007/s00300-004-0670-9</v>
      </c>
      <c r="BG936" t="s">
        <v>74</v>
      </c>
      <c r="BH936" t="s">
        <v>74</v>
      </c>
      <c r="BI936">
        <v>13</v>
      </c>
      <c r="BJ936" t="s">
        <v>140</v>
      </c>
      <c r="BK936" t="s">
        <v>95</v>
      </c>
      <c r="BL936" t="s">
        <v>141</v>
      </c>
      <c r="BM936" t="s">
        <v>13262</v>
      </c>
      <c r="BN936" t="s">
        <v>74</v>
      </c>
      <c r="BO936" t="s">
        <v>74</v>
      </c>
      <c r="BP936" t="s">
        <v>74</v>
      </c>
      <c r="BQ936" t="s">
        <v>74</v>
      </c>
      <c r="BR936" t="s">
        <v>97</v>
      </c>
      <c r="BS936" t="s">
        <v>13281</v>
      </c>
      <c r="BT936" t="str">
        <f>HYPERLINK("https%3A%2F%2Fwww.webofscience.com%2Fwos%2Fwoscc%2Ffull-record%2FWOS:000226314600004","View Full Record in Web of Science")</f>
        <v>View Full Record in Web of Science</v>
      </c>
    </row>
    <row r="937" spans="1:72" x14ac:dyDescent="0.15">
      <c r="A937" t="s">
        <v>72</v>
      </c>
      <c r="B937" t="s">
        <v>13282</v>
      </c>
      <c r="C937" t="s">
        <v>74</v>
      </c>
      <c r="D937" t="s">
        <v>74</v>
      </c>
      <c r="E937" t="s">
        <v>74</v>
      </c>
      <c r="F937" t="s">
        <v>13282</v>
      </c>
      <c r="G937" t="s">
        <v>74</v>
      </c>
      <c r="H937" t="s">
        <v>74</v>
      </c>
      <c r="I937" t="s">
        <v>13283</v>
      </c>
      <c r="J937" t="s">
        <v>124</v>
      </c>
      <c r="K937" t="s">
        <v>74</v>
      </c>
      <c r="L937" t="s">
        <v>74</v>
      </c>
      <c r="M937" t="s">
        <v>77</v>
      </c>
      <c r="N937" t="s">
        <v>78</v>
      </c>
      <c r="O937" t="s">
        <v>74</v>
      </c>
      <c r="P937" t="s">
        <v>74</v>
      </c>
      <c r="Q937" t="s">
        <v>74</v>
      </c>
      <c r="R937" t="s">
        <v>74</v>
      </c>
      <c r="S937" t="s">
        <v>74</v>
      </c>
      <c r="T937" t="s">
        <v>74</v>
      </c>
      <c r="U937" t="s">
        <v>13284</v>
      </c>
      <c r="V937" t="s">
        <v>13285</v>
      </c>
      <c r="W937" t="s">
        <v>13286</v>
      </c>
      <c r="X937" t="s">
        <v>13287</v>
      </c>
      <c r="Y937" t="s">
        <v>13288</v>
      </c>
      <c r="Z937" t="s">
        <v>13289</v>
      </c>
      <c r="AA937" t="s">
        <v>74</v>
      </c>
      <c r="AB937" t="s">
        <v>74</v>
      </c>
      <c r="AC937" t="s">
        <v>74</v>
      </c>
      <c r="AD937" t="s">
        <v>74</v>
      </c>
      <c r="AE937" t="s">
        <v>74</v>
      </c>
      <c r="AF937" t="s">
        <v>74</v>
      </c>
      <c r="AG937">
        <v>28</v>
      </c>
      <c r="AH937">
        <v>0</v>
      </c>
      <c r="AI937">
        <v>0</v>
      </c>
      <c r="AJ937">
        <v>0</v>
      </c>
      <c r="AK937">
        <v>2</v>
      </c>
      <c r="AL937" t="s">
        <v>133</v>
      </c>
      <c r="AM937" t="s">
        <v>134</v>
      </c>
      <c r="AN937" t="s">
        <v>155</v>
      </c>
      <c r="AO937" t="s">
        <v>136</v>
      </c>
      <c r="AP937" t="s">
        <v>156</v>
      </c>
      <c r="AQ937" t="s">
        <v>74</v>
      </c>
      <c r="AR937" t="s">
        <v>137</v>
      </c>
      <c r="AS937" t="s">
        <v>138</v>
      </c>
      <c r="AT937" t="s">
        <v>9676</v>
      </c>
      <c r="AU937">
        <v>2005</v>
      </c>
      <c r="AV937">
        <v>28</v>
      </c>
      <c r="AW937">
        <v>2</v>
      </c>
      <c r="AX937" t="s">
        <v>74</v>
      </c>
      <c r="AY937" t="s">
        <v>74</v>
      </c>
      <c r="AZ937" t="s">
        <v>74</v>
      </c>
      <c r="BA937" t="s">
        <v>74</v>
      </c>
      <c r="BB937">
        <v>142</v>
      </c>
      <c r="BC937">
        <v>146</v>
      </c>
      <c r="BD937" t="s">
        <v>74</v>
      </c>
      <c r="BE937" t="s">
        <v>13290</v>
      </c>
      <c r="BF937" t="str">
        <f>HYPERLINK("http://dx.doi.org/10.1007/s00300-004-0666-5","http://dx.doi.org/10.1007/s00300-004-0666-5")</f>
        <v>http://dx.doi.org/10.1007/s00300-004-0666-5</v>
      </c>
      <c r="BG937" t="s">
        <v>74</v>
      </c>
      <c r="BH937" t="s">
        <v>74</v>
      </c>
      <c r="BI937">
        <v>5</v>
      </c>
      <c r="BJ937" t="s">
        <v>140</v>
      </c>
      <c r="BK937" t="s">
        <v>95</v>
      </c>
      <c r="BL937" t="s">
        <v>141</v>
      </c>
      <c r="BM937" t="s">
        <v>13262</v>
      </c>
      <c r="BN937" t="s">
        <v>74</v>
      </c>
      <c r="BO937" t="s">
        <v>74</v>
      </c>
      <c r="BP937" t="s">
        <v>74</v>
      </c>
      <c r="BQ937" t="s">
        <v>74</v>
      </c>
      <c r="BR937" t="s">
        <v>97</v>
      </c>
      <c r="BS937" t="s">
        <v>13291</v>
      </c>
      <c r="BT937" t="str">
        <f>HYPERLINK("https%3A%2F%2Fwww.webofscience.com%2Fwos%2Fwoscc%2Ffull-record%2FWOS:000226314600006","View Full Record in Web of Science")</f>
        <v>View Full Record in Web of Science</v>
      </c>
    </row>
    <row r="938" spans="1:72" x14ac:dyDescent="0.15">
      <c r="A938" t="s">
        <v>72</v>
      </c>
      <c r="B938" t="s">
        <v>3878</v>
      </c>
      <c r="C938" t="s">
        <v>74</v>
      </c>
      <c r="D938" t="s">
        <v>74</v>
      </c>
      <c r="E938" t="s">
        <v>74</v>
      </c>
      <c r="F938" t="s">
        <v>3878</v>
      </c>
      <c r="G938" t="s">
        <v>74</v>
      </c>
      <c r="H938" t="s">
        <v>74</v>
      </c>
      <c r="I938" t="s">
        <v>13292</v>
      </c>
      <c r="J938" t="s">
        <v>124</v>
      </c>
      <c r="K938" t="s">
        <v>74</v>
      </c>
      <c r="L938" t="s">
        <v>74</v>
      </c>
      <c r="M938" t="s">
        <v>77</v>
      </c>
      <c r="N938" t="s">
        <v>78</v>
      </c>
      <c r="O938" t="s">
        <v>74</v>
      </c>
      <c r="P938" t="s">
        <v>74</v>
      </c>
      <c r="Q938" t="s">
        <v>74</v>
      </c>
      <c r="R938" t="s">
        <v>74</v>
      </c>
      <c r="S938" t="s">
        <v>74</v>
      </c>
      <c r="T938" t="s">
        <v>74</v>
      </c>
      <c r="U938" t="s">
        <v>13293</v>
      </c>
      <c r="V938" t="s">
        <v>13294</v>
      </c>
      <c r="W938" t="s">
        <v>3882</v>
      </c>
      <c r="X938" t="s">
        <v>3525</v>
      </c>
      <c r="Y938" t="s">
        <v>3883</v>
      </c>
      <c r="Z938" t="s">
        <v>3884</v>
      </c>
      <c r="AA938" t="s">
        <v>74</v>
      </c>
      <c r="AB938" t="s">
        <v>74</v>
      </c>
      <c r="AC938" t="s">
        <v>74</v>
      </c>
      <c r="AD938" t="s">
        <v>74</v>
      </c>
      <c r="AE938" t="s">
        <v>74</v>
      </c>
      <c r="AF938" t="s">
        <v>74</v>
      </c>
      <c r="AG938">
        <v>62</v>
      </c>
      <c r="AH938">
        <v>12</v>
      </c>
      <c r="AI938">
        <v>12</v>
      </c>
      <c r="AJ938">
        <v>0</v>
      </c>
      <c r="AK938">
        <v>6</v>
      </c>
      <c r="AL938" t="s">
        <v>133</v>
      </c>
      <c r="AM938" t="s">
        <v>134</v>
      </c>
      <c r="AN938" t="s">
        <v>155</v>
      </c>
      <c r="AO938" t="s">
        <v>136</v>
      </c>
      <c r="AP938" t="s">
        <v>156</v>
      </c>
      <c r="AQ938" t="s">
        <v>74</v>
      </c>
      <c r="AR938" t="s">
        <v>137</v>
      </c>
      <c r="AS938" t="s">
        <v>138</v>
      </c>
      <c r="AT938" t="s">
        <v>9676</v>
      </c>
      <c r="AU938">
        <v>2005</v>
      </c>
      <c r="AV938">
        <v>28</v>
      </c>
      <c r="AW938">
        <v>2</v>
      </c>
      <c r="AX938" t="s">
        <v>74</v>
      </c>
      <c r="AY938" t="s">
        <v>74</v>
      </c>
      <c r="AZ938" t="s">
        <v>74</v>
      </c>
      <c r="BA938" t="s">
        <v>74</v>
      </c>
      <c r="BB938">
        <v>147</v>
      </c>
      <c r="BC938">
        <v>155</v>
      </c>
      <c r="BD938" t="s">
        <v>74</v>
      </c>
      <c r="BE938" t="s">
        <v>13295</v>
      </c>
      <c r="BF938" t="str">
        <f>HYPERLINK("http://dx.doi.org/10.1007/s00300-004-0664-7","http://dx.doi.org/10.1007/s00300-004-0664-7")</f>
        <v>http://dx.doi.org/10.1007/s00300-004-0664-7</v>
      </c>
      <c r="BG938" t="s">
        <v>74</v>
      </c>
      <c r="BH938" t="s">
        <v>74</v>
      </c>
      <c r="BI938">
        <v>9</v>
      </c>
      <c r="BJ938" t="s">
        <v>140</v>
      </c>
      <c r="BK938" t="s">
        <v>95</v>
      </c>
      <c r="BL938" t="s">
        <v>141</v>
      </c>
      <c r="BM938" t="s">
        <v>13262</v>
      </c>
      <c r="BN938" t="s">
        <v>74</v>
      </c>
      <c r="BO938" t="s">
        <v>74</v>
      </c>
      <c r="BP938" t="s">
        <v>74</v>
      </c>
      <c r="BQ938" t="s">
        <v>74</v>
      </c>
      <c r="BR938" t="s">
        <v>97</v>
      </c>
      <c r="BS938" t="s">
        <v>13296</v>
      </c>
      <c r="BT938" t="str">
        <f>HYPERLINK("https%3A%2F%2Fwww.webofscience.com%2Fwos%2Fwoscc%2Ffull-record%2FWOS:000226314600007","View Full Record in Web of Science")</f>
        <v>View Full Record in Web of Science</v>
      </c>
    </row>
    <row r="939" spans="1:72" x14ac:dyDescent="0.15">
      <c r="A939" t="s">
        <v>72</v>
      </c>
      <c r="B939" t="s">
        <v>13297</v>
      </c>
      <c r="C939" t="s">
        <v>74</v>
      </c>
      <c r="D939" t="s">
        <v>74</v>
      </c>
      <c r="E939" t="s">
        <v>74</v>
      </c>
      <c r="F939" t="s">
        <v>13297</v>
      </c>
      <c r="G939" t="s">
        <v>74</v>
      </c>
      <c r="H939" t="s">
        <v>74</v>
      </c>
      <c r="I939" t="s">
        <v>13298</v>
      </c>
      <c r="J939" t="s">
        <v>124</v>
      </c>
      <c r="K939" t="s">
        <v>74</v>
      </c>
      <c r="L939" t="s">
        <v>74</v>
      </c>
      <c r="M939" t="s">
        <v>77</v>
      </c>
      <c r="N939" t="s">
        <v>78</v>
      </c>
      <c r="O939" t="s">
        <v>74</v>
      </c>
      <c r="P939" t="s">
        <v>74</v>
      </c>
      <c r="Q939" t="s">
        <v>74</v>
      </c>
      <c r="R939" t="s">
        <v>74</v>
      </c>
      <c r="S939" t="s">
        <v>74</v>
      </c>
      <c r="T939" t="s">
        <v>74</v>
      </c>
      <c r="U939" t="s">
        <v>13299</v>
      </c>
      <c r="V939" t="s">
        <v>13300</v>
      </c>
      <c r="W939" t="s">
        <v>13301</v>
      </c>
      <c r="X939" t="s">
        <v>13302</v>
      </c>
      <c r="Y939" t="s">
        <v>13303</v>
      </c>
      <c r="Z939" t="s">
        <v>13304</v>
      </c>
      <c r="AA939" t="s">
        <v>13305</v>
      </c>
      <c r="AB939" t="s">
        <v>13306</v>
      </c>
      <c r="AC939" t="s">
        <v>74</v>
      </c>
      <c r="AD939" t="s">
        <v>74</v>
      </c>
      <c r="AE939" t="s">
        <v>74</v>
      </c>
      <c r="AF939" t="s">
        <v>74</v>
      </c>
      <c r="AG939">
        <v>18</v>
      </c>
      <c r="AH939">
        <v>5</v>
      </c>
      <c r="AI939">
        <v>5</v>
      </c>
      <c r="AJ939">
        <v>1</v>
      </c>
      <c r="AK939">
        <v>4</v>
      </c>
      <c r="AL939" t="s">
        <v>133</v>
      </c>
      <c r="AM939" t="s">
        <v>134</v>
      </c>
      <c r="AN939" t="s">
        <v>135</v>
      </c>
      <c r="AO939" t="s">
        <v>136</v>
      </c>
      <c r="AP939" t="s">
        <v>74</v>
      </c>
      <c r="AQ939" t="s">
        <v>74</v>
      </c>
      <c r="AR939" t="s">
        <v>137</v>
      </c>
      <c r="AS939" t="s">
        <v>138</v>
      </c>
      <c r="AT939" t="s">
        <v>9676</v>
      </c>
      <c r="AU939">
        <v>2005</v>
      </c>
      <c r="AV939">
        <v>28</v>
      </c>
      <c r="AW939">
        <v>2</v>
      </c>
      <c r="AX939" t="s">
        <v>74</v>
      </c>
      <c r="AY939" t="s">
        <v>74</v>
      </c>
      <c r="AZ939" t="s">
        <v>74</v>
      </c>
      <c r="BA939" t="s">
        <v>74</v>
      </c>
      <c r="BB939">
        <v>164</v>
      </c>
      <c r="BC939">
        <v>167</v>
      </c>
      <c r="BD939" t="s">
        <v>74</v>
      </c>
      <c r="BE939" t="s">
        <v>13307</v>
      </c>
      <c r="BF939" t="str">
        <f>HYPERLINK("http://dx.doi.org/10.1007/s00300-004-0679-0","http://dx.doi.org/10.1007/s00300-004-0679-0")</f>
        <v>http://dx.doi.org/10.1007/s00300-004-0679-0</v>
      </c>
      <c r="BG939" t="s">
        <v>74</v>
      </c>
      <c r="BH939" t="s">
        <v>74</v>
      </c>
      <c r="BI939">
        <v>4</v>
      </c>
      <c r="BJ939" t="s">
        <v>140</v>
      </c>
      <c r="BK939" t="s">
        <v>95</v>
      </c>
      <c r="BL939" t="s">
        <v>141</v>
      </c>
      <c r="BM939" t="s">
        <v>13262</v>
      </c>
      <c r="BN939" t="s">
        <v>74</v>
      </c>
      <c r="BO939" t="s">
        <v>74</v>
      </c>
      <c r="BP939" t="s">
        <v>74</v>
      </c>
      <c r="BQ939" t="s">
        <v>74</v>
      </c>
      <c r="BR939" t="s">
        <v>97</v>
      </c>
      <c r="BS939" t="s">
        <v>13308</v>
      </c>
      <c r="BT939" t="str">
        <f>HYPERLINK("https%3A%2F%2Fwww.webofscience.com%2Fwos%2Fwoscc%2Ffull-record%2FWOS:000226314600009","View Full Record in Web of Science")</f>
        <v>View Full Record in Web of Science</v>
      </c>
    </row>
    <row r="940" spans="1:72" x14ac:dyDescent="0.15">
      <c r="A940" t="s">
        <v>72</v>
      </c>
      <c r="B940" t="s">
        <v>13309</v>
      </c>
      <c r="C940" t="s">
        <v>74</v>
      </c>
      <c r="D940" t="s">
        <v>74</v>
      </c>
      <c r="E940" t="s">
        <v>74</v>
      </c>
      <c r="F940" t="s">
        <v>13310</v>
      </c>
      <c r="G940" t="s">
        <v>74</v>
      </c>
      <c r="H940" t="s">
        <v>74</v>
      </c>
      <c r="I940" t="s">
        <v>13311</v>
      </c>
      <c r="J940" t="s">
        <v>13312</v>
      </c>
      <c r="K940" t="s">
        <v>74</v>
      </c>
      <c r="L940" t="s">
        <v>74</v>
      </c>
      <c r="M940" t="s">
        <v>77</v>
      </c>
      <c r="N940" t="s">
        <v>78</v>
      </c>
      <c r="O940" t="s">
        <v>74</v>
      </c>
      <c r="P940" t="s">
        <v>74</v>
      </c>
      <c r="Q940" t="s">
        <v>74</v>
      </c>
      <c r="R940" t="s">
        <v>74</v>
      </c>
      <c r="S940" t="s">
        <v>74</v>
      </c>
      <c r="T940" t="s">
        <v>74</v>
      </c>
      <c r="U940" t="s">
        <v>74</v>
      </c>
      <c r="V940" t="s">
        <v>13313</v>
      </c>
      <c r="W940" t="s">
        <v>13314</v>
      </c>
      <c r="X940" t="s">
        <v>593</v>
      </c>
      <c r="Y940" t="s">
        <v>13315</v>
      </c>
      <c r="Z940" t="s">
        <v>13316</v>
      </c>
      <c r="AA940" t="s">
        <v>4638</v>
      </c>
      <c r="AB940" t="s">
        <v>4639</v>
      </c>
      <c r="AC940" t="s">
        <v>13317</v>
      </c>
      <c r="AD940" t="s">
        <v>13318</v>
      </c>
      <c r="AE940" t="s">
        <v>13319</v>
      </c>
      <c r="AF940" t="s">
        <v>74</v>
      </c>
      <c r="AG940">
        <v>26</v>
      </c>
      <c r="AH940">
        <v>1</v>
      </c>
      <c r="AI940">
        <v>1</v>
      </c>
      <c r="AJ940">
        <v>0</v>
      </c>
      <c r="AK940">
        <v>0</v>
      </c>
      <c r="AL940" t="s">
        <v>5476</v>
      </c>
      <c r="AM940" t="s">
        <v>5477</v>
      </c>
      <c r="AN940" t="s">
        <v>5478</v>
      </c>
      <c r="AO940" t="s">
        <v>13320</v>
      </c>
      <c r="AP940" t="s">
        <v>13321</v>
      </c>
      <c r="AQ940" t="s">
        <v>74</v>
      </c>
      <c r="AR940" t="s">
        <v>13322</v>
      </c>
      <c r="AS940" t="s">
        <v>13323</v>
      </c>
      <c r="AT940" t="s">
        <v>74</v>
      </c>
      <c r="AU940">
        <v>2005</v>
      </c>
      <c r="AV940">
        <v>29</v>
      </c>
      <c r="AW940">
        <v>4</v>
      </c>
      <c r="AX940" t="s">
        <v>74</v>
      </c>
      <c r="AY940" t="s">
        <v>74</v>
      </c>
      <c r="AZ940" t="s">
        <v>74</v>
      </c>
      <c r="BA940" t="s">
        <v>74</v>
      </c>
      <c r="BB940">
        <v>237</v>
      </c>
      <c r="BC940">
        <v>252</v>
      </c>
      <c r="BD940" t="s">
        <v>74</v>
      </c>
      <c r="BE940" t="s">
        <v>13324</v>
      </c>
      <c r="BF940" t="str">
        <f>HYPERLINK("http://dx.doi.org/10.1080/789610142","http://dx.doi.org/10.1080/789610142")</f>
        <v>http://dx.doi.org/10.1080/789610142</v>
      </c>
      <c r="BG940" t="s">
        <v>74</v>
      </c>
      <c r="BH940" t="s">
        <v>74</v>
      </c>
      <c r="BI940">
        <v>16</v>
      </c>
      <c r="BJ940" t="s">
        <v>11716</v>
      </c>
      <c r="BK940" t="s">
        <v>3249</v>
      </c>
      <c r="BL940" t="s">
        <v>11717</v>
      </c>
      <c r="BM940" t="s">
        <v>13325</v>
      </c>
      <c r="BN940" t="s">
        <v>74</v>
      </c>
      <c r="BO940" t="s">
        <v>74</v>
      </c>
      <c r="BP940" t="s">
        <v>74</v>
      </c>
      <c r="BQ940" t="s">
        <v>74</v>
      </c>
      <c r="BR940" t="s">
        <v>97</v>
      </c>
      <c r="BS940" t="s">
        <v>13326</v>
      </c>
      <c r="BT940" t="str">
        <f>HYPERLINK("https%3A%2F%2Fwww.webofscience.com%2Fwos%2Fwoscc%2Ffull-record%2FWOS:000211099600001","View Full Record in Web of Science")</f>
        <v>View Full Record in Web of Science</v>
      </c>
    </row>
    <row r="941" spans="1:72" x14ac:dyDescent="0.15">
      <c r="A941" t="s">
        <v>72</v>
      </c>
      <c r="B941" t="s">
        <v>344</v>
      </c>
      <c r="C941" t="s">
        <v>74</v>
      </c>
      <c r="D941" t="s">
        <v>74</v>
      </c>
      <c r="E941" t="s">
        <v>74</v>
      </c>
      <c r="F941" t="s">
        <v>344</v>
      </c>
      <c r="G941" t="s">
        <v>74</v>
      </c>
      <c r="H941" t="s">
        <v>74</v>
      </c>
      <c r="I941" t="s">
        <v>13327</v>
      </c>
      <c r="J941" t="s">
        <v>208</v>
      </c>
      <c r="K941" t="s">
        <v>74</v>
      </c>
      <c r="L941" t="s">
        <v>74</v>
      </c>
      <c r="M941" t="s">
        <v>77</v>
      </c>
      <c r="N941" t="s">
        <v>78</v>
      </c>
      <c r="O941" t="s">
        <v>74</v>
      </c>
      <c r="P941" t="s">
        <v>74</v>
      </c>
      <c r="Q941" t="s">
        <v>74</v>
      </c>
      <c r="R941" t="s">
        <v>74</v>
      </c>
      <c r="S941" t="s">
        <v>74</v>
      </c>
      <c r="T941" t="s">
        <v>74</v>
      </c>
      <c r="U941" t="s">
        <v>74</v>
      </c>
      <c r="V941" t="s">
        <v>13328</v>
      </c>
      <c r="W941" t="s">
        <v>13329</v>
      </c>
      <c r="X941" t="s">
        <v>349</v>
      </c>
      <c r="Y941" t="s">
        <v>13330</v>
      </c>
      <c r="Z941" t="s">
        <v>74</v>
      </c>
      <c r="AA941" t="s">
        <v>351</v>
      </c>
      <c r="AB941" t="s">
        <v>352</v>
      </c>
      <c r="AC941" t="s">
        <v>74</v>
      </c>
      <c r="AD941" t="s">
        <v>74</v>
      </c>
      <c r="AE941" t="s">
        <v>74</v>
      </c>
      <c r="AF941" t="s">
        <v>74</v>
      </c>
      <c r="AG941">
        <v>37</v>
      </c>
      <c r="AH941">
        <v>3</v>
      </c>
      <c r="AI941">
        <v>3</v>
      </c>
      <c r="AJ941">
        <v>0</v>
      </c>
      <c r="AK941">
        <v>2</v>
      </c>
      <c r="AL941" t="s">
        <v>212</v>
      </c>
      <c r="AM941" t="s">
        <v>134</v>
      </c>
      <c r="AN941" t="s">
        <v>213</v>
      </c>
      <c r="AO941" t="s">
        <v>214</v>
      </c>
      <c r="AP941" t="s">
        <v>74</v>
      </c>
      <c r="AQ941" t="s">
        <v>74</v>
      </c>
      <c r="AR941" t="s">
        <v>215</v>
      </c>
      <c r="AS941" t="s">
        <v>216</v>
      </c>
      <c r="AT941" t="s">
        <v>9676</v>
      </c>
      <c r="AU941">
        <v>2005</v>
      </c>
      <c r="AV941">
        <v>41</v>
      </c>
      <c r="AW941">
        <v>216</v>
      </c>
      <c r="AX941" t="s">
        <v>74</v>
      </c>
      <c r="AY941" t="s">
        <v>74</v>
      </c>
      <c r="AZ941" t="s">
        <v>74</v>
      </c>
      <c r="BA941" t="s">
        <v>74</v>
      </c>
      <c r="BB941">
        <v>11</v>
      </c>
      <c r="BC941">
        <v>20</v>
      </c>
      <c r="BD941" t="s">
        <v>74</v>
      </c>
      <c r="BE941" t="s">
        <v>13331</v>
      </c>
      <c r="BF941" t="str">
        <f>HYPERLINK("http://dx.doi.org/10.1017/S0032247404003973","http://dx.doi.org/10.1017/S0032247404003973")</f>
        <v>http://dx.doi.org/10.1017/S0032247404003973</v>
      </c>
      <c r="BG941" t="s">
        <v>74</v>
      </c>
      <c r="BH941" t="s">
        <v>74</v>
      </c>
      <c r="BI941">
        <v>10</v>
      </c>
      <c r="BJ941" t="s">
        <v>218</v>
      </c>
      <c r="BK941" t="s">
        <v>95</v>
      </c>
      <c r="BL941" t="s">
        <v>219</v>
      </c>
      <c r="BM941" t="s">
        <v>13332</v>
      </c>
      <c r="BN941" t="s">
        <v>74</v>
      </c>
      <c r="BO941" t="s">
        <v>1165</v>
      </c>
      <c r="BP941" t="s">
        <v>74</v>
      </c>
      <c r="BQ941" t="s">
        <v>74</v>
      </c>
      <c r="BR941" t="s">
        <v>97</v>
      </c>
      <c r="BS941" t="s">
        <v>13333</v>
      </c>
      <c r="BT941" t="str">
        <f>HYPERLINK("https%3A%2F%2Fwww.webofscience.com%2Fwos%2Fwoscc%2Ffull-record%2FWOS:000227790400002","View Full Record in Web of Science")</f>
        <v>View Full Record in Web of Science</v>
      </c>
    </row>
    <row r="942" spans="1:72" x14ac:dyDescent="0.15">
      <c r="A942" t="s">
        <v>72</v>
      </c>
      <c r="B942" t="s">
        <v>13334</v>
      </c>
      <c r="C942" t="s">
        <v>74</v>
      </c>
      <c r="D942" t="s">
        <v>74</v>
      </c>
      <c r="E942" t="s">
        <v>74</v>
      </c>
      <c r="F942" t="s">
        <v>13334</v>
      </c>
      <c r="G942" t="s">
        <v>74</v>
      </c>
      <c r="H942" t="s">
        <v>74</v>
      </c>
      <c r="I942" t="s">
        <v>13335</v>
      </c>
      <c r="J942" t="s">
        <v>208</v>
      </c>
      <c r="K942" t="s">
        <v>74</v>
      </c>
      <c r="L942" t="s">
        <v>74</v>
      </c>
      <c r="M942" t="s">
        <v>77</v>
      </c>
      <c r="N942" t="s">
        <v>78</v>
      </c>
      <c r="O942" t="s">
        <v>74</v>
      </c>
      <c r="P942" t="s">
        <v>74</v>
      </c>
      <c r="Q942" t="s">
        <v>74</v>
      </c>
      <c r="R942" t="s">
        <v>74</v>
      </c>
      <c r="S942" t="s">
        <v>74</v>
      </c>
      <c r="T942" t="s">
        <v>74</v>
      </c>
      <c r="U942" t="s">
        <v>13336</v>
      </c>
      <c r="V942" t="s">
        <v>13337</v>
      </c>
      <c r="W942" t="s">
        <v>13338</v>
      </c>
      <c r="X942" t="s">
        <v>13339</v>
      </c>
      <c r="Y942" t="s">
        <v>13340</v>
      </c>
      <c r="Z942" t="s">
        <v>13341</v>
      </c>
      <c r="AA942" t="s">
        <v>13342</v>
      </c>
      <c r="AB942" t="s">
        <v>74</v>
      </c>
      <c r="AC942" t="s">
        <v>74</v>
      </c>
      <c r="AD942" t="s">
        <v>74</v>
      </c>
      <c r="AE942" t="s">
        <v>74</v>
      </c>
      <c r="AF942" t="s">
        <v>74</v>
      </c>
      <c r="AG942">
        <v>24</v>
      </c>
      <c r="AH942">
        <v>10</v>
      </c>
      <c r="AI942">
        <v>15</v>
      </c>
      <c r="AJ942">
        <v>1</v>
      </c>
      <c r="AK942">
        <v>10</v>
      </c>
      <c r="AL942" t="s">
        <v>212</v>
      </c>
      <c r="AM942" t="s">
        <v>134</v>
      </c>
      <c r="AN942" t="s">
        <v>236</v>
      </c>
      <c r="AO942" t="s">
        <v>214</v>
      </c>
      <c r="AP942" t="s">
        <v>5058</v>
      </c>
      <c r="AQ942" t="s">
        <v>74</v>
      </c>
      <c r="AR942" t="s">
        <v>215</v>
      </c>
      <c r="AS942" t="s">
        <v>216</v>
      </c>
      <c r="AT942" t="s">
        <v>9676</v>
      </c>
      <c r="AU942">
        <v>2005</v>
      </c>
      <c r="AV942">
        <v>41</v>
      </c>
      <c r="AW942">
        <v>216</v>
      </c>
      <c r="AX942" t="s">
        <v>74</v>
      </c>
      <c r="AY942" t="s">
        <v>74</v>
      </c>
      <c r="AZ942" t="s">
        <v>74</v>
      </c>
      <c r="BA942" t="s">
        <v>74</v>
      </c>
      <c r="BB942">
        <v>39</v>
      </c>
      <c r="BC942">
        <v>45</v>
      </c>
      <c r="BD942" t="s">
        <v>74</v>
      </c>
      <c r="BE942" t="s">
        <v>13343</v>
      </c>
      <c r="BF942" t="str">
        <f>HYPERLINK("http://dx.doi.org/10.1017/S0032247404003961","http://dx.doi.org/10.1017/S0032247404003961")</f>
        <v>http://dx.doi.org/10.1017/S0032247404003961</v>
      </c>
      <c r="BG942" t="s">
        <v>74</v>
      </c>
      <c r="BH942" t="s">
        <v>74</v>
      </c>
      <c r="BI942">
        <v>7</v>
      </c>
      <c r="BJ942" t="s">
        <v>218</v>
      </c>
      <c r="BK942" t="s">
        <v>95</v>
      </c>
      <c r="BL942" t="s">
        <v>219</v>
      </c>
      <c r="BM942" t="s">
        <v>13332</v>
      </c>
      <c r="BN942" t="s">
        <v>74</v>
      </c>
      <c r="BO942" t="s">
        <v>74</v>
      </c>
      <c r="BP942" t="s">
        <v>74</v>
      </c>
      <c r="BQ942" t="s">
        <v>74</v>
      </c>
      <c r="BR942" t="s">
        <v>97</v>
      </c>
      <c r="BS942" t="s">
        <v>13344</v>
      </c>
      <c r="BT942" t="str">
        <f>HYPERLINK("https%3A%2F%2Fwww.webofscience.com%2Fwos%2Fwoscc%2Ffull-record%2FWOS:000227790400004","View Full Record in Web of Science")</f>
        <v>View Full Record in Web of Science</v>
      </c>
    </row>
    <row r="943" spans="1:72" x14ac:dyDescent="0.15">
      <c r="A943" t="s">
        <v>72</v>
      </c>
      <c r="B943" t="s">
        <v>13345</v>
      </c>
      <c r="C943" t="s">
        <v>74</v>
      </c>
      <c r="D943" t="s">
        <v>74</v>
      </c>
      <c r="E943" t="s">
        <v>74</v>
      </c>
      <c r="F943" t="s">
        <v>13345</v>
      </c>
      <c r="G943" t="s">
        <v>74</v>
      </c>
      <c r="H943" t="s">
        <v>74</v>
      </c>
      <c r="I943" t="s">
        <v>13346</v>
      </c>
      <c r="J943" t="s">
        <v>208</v>
      </c>
      <c r="K943" t="s">
        <v>74</v>
      </c>
      <c r="L943" t="s">
        <v>74</v>
      </c>
      <c r="M943" t="s">
        <v>77</v>
      </c>
      <c r="N943" t="s">
        <v>78</v>
      </c>
      <c r="O943" t="s">
        <v>74</v>
      </c>
      <c r="P943" t="s">
        <v>74</v>
      </c>
      <c r="Q943" t="s">
        <v>74</v>
      </c>
      <c r="R943" t="s">
        <v>74</v>
      </c>
      <c r="S943" t="s">
        <v>74</v>
      </c>
      <c r="T943" t="s">
        <v>74</v>
      </c>
      <c r="U943" t="s">
        <v>74</v>
      </c>
      <c r="V943" t="s">
        <v>13347</v>
      </c>
      <c r="W943" t="s">
        <v>13348</v>
      </c>
      <c r="X943" t="s">
        <v>74</v>
      </c>
      <c r="Y943" t="s">
        <v>210</v>
      </c>
      <c r="Z943" t="s">
        <v>74</v>
      </c>
      <c r="AA943" t="s">
        <v>74</v>
      </c>
      <c r="AB943" t="s">
        <v>74</v>
      </c>
      <c r="AC943" t="s">
        <v>74</v>
      </c>
      <c r="AD943" t="s">
        <v>74</v>
      </c>
      <c r="AE943" t="s">
        <v>74</v>
      </c>
      <c r="AF943" t="s">
        <v>74</v>
      </c>
      <c r="AG943">
        <v>15</v>
      </c>
      <c r="AH943">
        <v>3</v>
      </c>
      <c r="AI943">
        <v>3</v>
      </c>
      <c r="AJ943">
        <v>0</v>
      </c>
      <c r="AK943">
        <v>1</v>
      </c>
      <c r="AL943" t="s">
        <v>212</v>
      </c>
      <c r="AM943" t="s">
        <v>134</v>
      </c>
      <c r="AN943" t="s">
        <v>213</v>
      </c>
      <c r="AO943" t="s">
        <v>214</v>
      </c>
      <c r="AP943" t="s">
        <v>74</v>
      </c>
      <c r="AQ943" t="s">
        <v>74</v>
      </c>
      <c r="AR943" t="s">
        <v>215</v>
      </c>
      <c r="AS943" t="s">
        <v>216</v>
      </c>
      <c r="AT943" t="s">
        <v>9676</v>
      </c>
      <c r="AU943">
        <v>2005</v>
      </c>
      <c r="AV943">
        <v>41</v>
      </c>
      <c r="AW943">
        <v>216</v>
      </c>
      <c r="AX943" t="s">
        <v>74</v>
      </c>
      <c r="AY943" t="s">
        <v>74</v>
      </c>
      <c r="AZ943" t="s">
        <v>74</v>
      </c>
      <c r="BA943" t="s">
        <v>74</v>
      </c>
      <c r="BB943">
        <v>57</v>
      </c>
      <c r="BC943">
        <v>65</v>
      </c>
      <c r="BD943" t="s">
        <v>74</v>
      </c>
      <c r="BE943" t="s">
        <v>13349</v>
      </c>
      <c r="BF943" t="str">
        <f>HYPERLINK("http://dx.doi.org/10.1017/S0032247404003997","http://dx.doi.org/10.1017/S0032247404003997")</f>
        <v>http://dx.doi.org/10.1017/S0032247404003997</v>
      </c>
      <c r="BG943" t="s">
        <v>74</v>
      </c>
      <c r="BH943" t="s">
        <v>74</v>
      </c>
      <c r="BI943">
        <v>9</v>
      </c>
      <c r="BJ943" t="s">
        <v>218</v>
      </c>
      <c r="BK943" t="s">
        <v>95</v>
      </c>
      <c r="BL943" t="s">
        <v>219</v>
      </c>
      <c r="BM943" t="s">
        <v>13332</v>
      </c>
      <c r="BN943" t="s">
        <v>74</v>
      </c>
      <c r="BO943" t="s">
        <v>74</v>
      </c>
      <c r="BP943" t="s">
        <v>74</v>
      </c>
      <c r="BQ943" t="s">
        <v>74</v>
      </c>
      <c r="BR943" t="s">
        <v>97</v>
      </c>
      <c r="BS943" t="s">
        <v>13350</v>
      </c>
      <c r="BT943" t="str">
        <f>HYPERLINK("https%3A%2F%2Fwww.webofscience.com%2Fwos%2Fwoscc%2Ffull-record%2FWOS:000227790400006","View Full Record in Web of Science")</f>
        <v>View Full Record in Web of Science</v>
      </c>
    </row>
    <row r="944" spans="1:72" x14ac:dyDescent="0.15">
      <c r="A944" t="s">
        <v>72</v>
      </c>
      <c r="B944" t="s">
        <v>13351</v>
      </c>
      <c r="C944" t="s">
        <v>74</v>
      </c>
      <c r="D944" t="s">
        <v>74</v>
      </c>
      <c r="E944" t="s">
        <v>74</v>
      </c>
      <c r="F944" t="s">
        <v>13351</v>
      </c>
      <c r="G944" t="s">
        <v>74</v>
      </c>
      <c r="H944" t="s">
        <v>74</v>
      </c>
      <c r="I944" t="s">
        <v>13352</v>
      </c>
      <c r="J944" t="s">
        <v>13353</v>
      </c>
      <c r="K944" t="s">
        <v>74</v>
      </c>
      <c r="L944" t="s">
        <v>74</v>
      </c>
      <c r="M944" t="s">
        <v>77</v>
      </c>
      <c r="N944" t="s">
        <v>78</v>
      </c>
      <c r="O944" t="s">
        <v>74</v>
      </c>
      <c r="P944" t="s">
        <v>74</v>
      </c>
      <c r="Q944" t="s">
        <v>74</v>
      </c>
      <c r="R944" t="s">
        <v>74</v>
      </c>
      <c r="S944" t="s">
        <v>74</v>
      </c>
      <c r="T944" t="s">
        <v>74</v>
      </c>
      <c r="U944" t="s">
        <v>13354</v>
      </c>
      <c r="V944" t="s">
        <v>13355</v>
      </c>
      <c r="W944" t="s">
        <v>13356</v>
      </c>
      <c r="X944" t="s">
        <v>13357</v>
      </c>
      <c r="Y944" t="s">
        <v>13358</v>
      </c>
      <c r="Z944" t="s">
        <v>13359</v>
      </c>
      <c r="AA944" t="s">
        <v>13360</v>
      </c>
      <c r="AB944" t="s">
        <v>74</v>
      </c>
      <c r="AC944" t="s">
        <v>74</v>
      </c>
      <c r="AD944" t="s">
        <v>74</v>
      </c>
      <c r="AE944" t="s">
        <v>74</v>
      </c>
      <c r="AF944" t="s">
        <v>74</v>
      </c>
      <c r="AG944">
        <v>21</v>
      </c>
      <c r="AH944">
        <v>13</v>
      </c>
      <c r="AI944">
        <v>15</v>
      </c>
      <c r="AJ944">
        <v>0</v>
      </c>
      <c r="AK944">
        <v>8</v>
      </c>
      <c r="AL944" t="s">
        <v>394</v>
      </c>
      <c r="AM944" t="s">
        <v>395</v>
      </c>
      <c r="AN944" t="s">
        <v>396</v>
      </c>
      <c r="AO944" t="s">
        <v>13361</v>
      </c>
      <c r="AP944" t="s">
        <v>13362</v>
      </c>
      <c r="AQ944" t="s">
        <v>74</v>
      </c>
      <c r="AR944" t="s">
        <v>13363</v>
      </c>
      <c r="AS944" t="s">
        <v>13364</v>
      </c>
      <c r="AT944" t="s">
        <v>74</v>
      </c>
      <c r="AU944">
        <v>2005</v>
      </c>
      <c r="AV944">
        <v>24</v>
      </c>
      <c r="AW944" t="s">
        <v>442</v>
      </c>
      <c r="AX944" t="s">
        <v>74</v>
      </c>
      <c r="AY944" t="s">
        <v>74</v>
      </c>
      <c r="AZ944" t="s">
        <v>74</v>
      </c>
      <c r="BA944" t="s">
        <v>74</v>
      </c>
      <c r="BB944">
        <v>69</v>
      </c>
      <c r="BC944">
        <v>85</v>
      </c>
      <c r="BD944" t="s">
        <v>74</v>
      </c>
      <c r="BE944" t="s">
        <v>13365</v>
      </c>
      <c r="BF944" t="str">
        <f>HYPERLINK("http://dx.doi.org/10.1111/j.1751-8369.2005.tb00141.x","http://dx.doi.org/10.1111/j.1751-8369.2005.tb00141.x")</f>
        <v>http://dx.doi.org/10.1111/j.1751-8369.2005.tb00141.x</v>
      </c>
      <c r="BG944" t="s">
        <v>74</v>
      </c>
      <c r="BH944" t="s">
        <v>74</v>
      </c>
      <c r="BI944">
        <v>17</v>
      </c>
      <c r="BJ944" t="s">
        <v>13366</v>
      </c>
      <c r="BK944" t="s">
        <v>95</v>
      </c>
      <c r="BL944" t="s">
        <v>13367</v>
      </c>
      <c r="BM944" t="s">
        <v>13368</v>
      </c>
      <c r="BN944" t="s">
        <v>74</v>
      </c>
      <c r="BO944" t="s">
        <v>74</v>
      </c>
      <c r="BP944" t="s">
        <v>74</v>
      </c>
      <c r="BQ944" t="s">
        <v>74</v>
      </c>
      <c r="BR944" t="s">
        <v>97</v>
      </c>
      <c r="BS944" t="s">
        <v>13369</v>
      </c>
      <c r="BT944" t="str">
        <f>HYPERLINK("https%3A%2F%2Fwww.webofscience.com%2Fwos%2Fwoscc%2Ffull-record%2FWOS:000230738900007","View Full Record in Web of Science")</f>
        <v>View Full Record in Web of Science</v>
      </c>
    </row>
    <row r="945" spans="1:72" x14ac:dyDescent="0.15">
      <c r="A945" t="s">
        <v>72</v>
      </c>
      <c r="B945" t="s">
        <v>13370</v>
      </c>
      <c r="C945" t="s">
        <v>74</v>
      </c>
      <c r="D945" t="s">
        <v>74</v>
      </c>
      <c r="E945" t="s">
        <v>74</v>
      </c>
      <c r="F945" t="s">
        <v>13370</v>
      </c>
      <c r="G945" t="s">
        <v>74</v>
      </c>
      <c r="H945" t="s">
        <v>74</v>
      </c>
      <c r="I945" t="s">
        <v>13371</v>
      </c>
      <c r="J945" t="s">
        <v>13353</v>
      </c>
      <c r="K945" t="s">
        <v>74</v>
      </c>
      <c r="L945" t="s">
        <v>74</v>
      </c>
      <c r="M945" t="s">
        <v>77</v>
      </c>
      <c r="N945" t="s">
        <v>78</v>
      </c>
      <c r="O945" t="s">
        <v>74</v>
      </c>
      <c r="P945" t="s">
        <v>74</v>
      </c>
      <c r="Q945" t="s">
        <v>74</v>
      </c>
      <c r="R945" t="s">
        <v>74</v>
      </c>
      <c r="S945" t="s">
        <v>74</v>
      </c>
      <c r="T945" t="s">
        <v>74</v>
      </c>
      <c r="U945" t="s">
        <v>13372</v>
      </c>
      <c r="V945" t="s">
        <v>13373</v>
      </c>
      <c r="W945" t="s">
        <v>13374</v>
      </c>
      <c r="X945" t="s">
        <v>13375</v>
      </c>
      <c r="Y945" t="s">
        <v>13376</v>
      </c>
      <c r="Z945" t="s">
        <v>13377</v>
      </c>
      <c r="AA945" t="s">
        <v>74</v>
      </c>
      <c r="AB945" t="s">
        <v>13378</v>
      </c>
      <c r="AC945" t="s">
        <v>74</v>
      </c>
      <c r="AD945" t="s">
        <v>74</v>
      </c>
      <c r="AE945" t="s">
        <v>74</v>
      </c>
      <c r="AF945" t="s">
        <v>74</v>
      </c>
      <c r="AG945">
        <v>42</v>
      </c>
      <c r="AH945">
        <v>26</v>
      </c>
      <c r="AI945">
        <v>29</v>
      </c>
      <c r="AJ945">
        <v>0</v>
      </c>
      <c r="AK945">
        <v>25</v>
      </c>
      <c r="AL945" t="s">
        <v>394</v>
      </c>
      <c r="AM945" t="s">
        <v>395</v>
      </c>
      <c r="AN945" t="s">
        <v>396</v>
      </c>
      <c r="AO945" t="s">
        <v>13361</v>
      </c>
      <c r="AP945" t="s">
        <v>13362</v>
      </c>
      <c r="AQ945" t="s">
        <v>74</v>
      </c>
      <c r="AR945" t="s">
        <v>13363</v>
      </c>
      <c r="AS945" t="s">
        <v>13364</v>
      </c>
      <c r="AT945" t="s">
        <v>74</v>
      </c>
      <c r="AU945">
        <v>2005</v>
      </c>
      <c r="AV945">
        <v>24</v>
      </c>
      <c r="AW945" t="s">
        <v>442</v>
      </c>
      <c r="AX945" t="s">
        <v>74</v>
      </c>
      <c r="AY945" t="s">
        <v>74</v>
      </c>
      <c r="AZ945" t="s">
        <v>74</v>
      </c>
      <c r="BA945" t="s">
        <v>74</v>
      </c>
      <c r="BB945">
        <v>111</v>
      </c>
      <c r="BC945">
        <v>118</v>
      </c>
      <c r="BD945" t="s">
        <v>74</v>
      </c>
      <c r="BE945" t="s">
        <v>13379</v>
      </c>
      <c r="BF945" t="str">
        <f>HYPERLINK("http://dx.doi.org/10.1111/j.1751-8369.2005.tb00144.x","http://dx.doi.org/10.1111/j.1751-8369.2005.tb00144.x")</f>
        <v>http://dx.doi.org/10.1111/j.1751-8369.2005.tb00144.x</v>
      </c>
      <c r="BG945" t="s">
        <v>74</v>
      </c>
      <c r="BH945" t="s">
        <v>74</v>
      </c>
      <c r="BI945">
        <v>8</v>
      </c>
      <c r="BJ945" t="s">
        <v>13366</v>
      </c>
      <c r="BK945" t="s">
        <v>95</v>
      </c>
      <c r="BL945" t="s">
        <v>13367</v>
      </c>
      <c r="BM945" t="s">
        <v>13368</v>
      </c>
      <c r="BN945" t="s">
        <v>74</v>
      </c>
      <c r="BO945" t="s">
        <v>74</v>
      </c>
      <c r="BP945" t="s">
        <v>74</v>
      </c>
      <c r="BQ945" t="s">
        <v>74</v>
      </c>
      <c r="BR945" t="s">
        <v>97</v>
      </c>
      <c r="BS945" t="s">
        <v>13380</v>
      </c>
      <c r="BT945" t="str">
        <f>HYPERLINK("https%3A%2F%2Fwww.webofscience.com%2Fwos%2Fwoscc%2Ffull-record%2FWOS:000230738900010","View Full Record in Web of Science")</f>
        <v>View Full Record in Web of Science</v>
      </c>
    </row>
    <row r="946" spans="1:72" x14ac:dyDescent="0.15">
      <c r="A946" t="s">
        <v>72</v>
      </c>
      <c r="B946" t="s">
        <v>13381</v>
      </c>
      <c r="C946" t="s">
        <v>74</v>
      </c>
      <c r="D946" t="s">
        <v>74</v>
      </c>
      <c r="E946" t="s">
        <v>74</v>
      </c>
      <c r="F946" t="s">
        <v>13381</v>
      </c>
      <c r="G946" t="s">
        <v>74</v>
      </c>
      <c r="H946" t="s">
        <v>74</v>
      </c>
      <c r="I946" t="s">
        <v>13382</v>
      </c>
      <c r="J946" t="s">
        <v>13383</v>
      </c>
      <c r="K946" t="s">
        <v>74</v>
      </c>
      <c r="L946" t="s">
        <v>74</v>
      </c>
      <c r="M946" t="s">
        <v>77</v>
      </c>
      <c r="N946" t="s">
        <v>78</v>
      </c>
      <c r="O946" t="s">
        <v>74</v>
      </c>
      <c r="P946" t="s">
        <v>74</v>
      </c>
      <c r="Q946" t="s">
        <v>74</v>
      </c>
      <c r="R946" t="s">
        <v>74</v>
      </c>
      <c r="S946" t="s">
        <v>74</v>
      </c>
      <c r="T946" t="s">
        <v>13384</v>
      </c>
      <c r="U946" t="s">
        <v>13385</v>
      </c>
      <c r="V946" t="s">
        <v>13386</v>
      </c>
      <c r="W946" t="s">
        <v>13387</v>
      </c>
      <c r="X946" t="s">
        <v>13388</v>
      </c>
      <c r="Y946" t="s">
        <v>13389</v>
      </c>
      <c r="Z946" t="s">
        <v>13390</v>
      </c>
      <c r="AA946" t="s">
        <v>74</v>
      </c>
      <c r="AB946" t="s">
        <v>74</v>
      </c>
      <c r="AC946" t="s">
        <v>74</v>
      </c>
      <c r="AD946" t="s">
        <v>74</v>
      </c>
      <c r="AE946" t="s">
        <v>74</v>
      </c>
      <c r="AF946" t="s">
        <v>74</v>
      </c>
      <c r="AG946">
        <v>31</v>
      </c>
      <c r="AH946">
        <v>3</v>
      </c>
      <c r="AI946">
        <v>3</v>
      </c>
      <c r="AJ946">
        <v>0</v>
      </c>
      <c r="AK946">
        <v>1</v>
      </c>
      <c r="AL946" t="s">
        <v>863</v>
      </c>
      <c r="AM946" t="s">
        <v>134</v>
      </c>
      <c r="AN946" t="s">
        <v>13391</v>
      </c>
      <c r="AO946" t="s">
        <v>13392</v>
      </c>
      <c r="AP946" t="s">
        <v>13393</v>
      </c>
      <c r="AQ946" t="s">
        <v>74</v>
      </c>
      <c r="AR946" t="s">
        <v>13394</v>
      </c>
      <c r="AS946" t="s">
        <v>13395</v>
      </c>
      <c r="AT946" t="s">
        <v>74</v>
      </c>
      <c r="AU946">
        <v>2005</v>
      </c>
      <c r="AV946">
        <v>37</v>
      </c>
      <c r="AW946">
        <v>3</v>
      </c>
      <c r="AX946" t="s">
        <v>74</v>
      </c>
      <c r="AY946" t="s">
        <v>74</v>
      </c>
      <c r="AZ946" t="s">
        <v>74</v>
      </c>
      <c r="BA946" t="s">
        <v>74</v>
      </c>
      <c r="BB946">
        <v>169</v>
      </c>
      <c r="BC946">
        <v>176</v>
      </c>
      <c r="BD946" t="s">
        <v>74</v>
      </c>
      <c r="BE946" t="s">
        <v>13396</v>
      </c>
      <c r="BF946" t="str">
        <f>HYPERLINK("http://dx.doi.org/10.1295/polymj.37.169","http://dx.doi.org/10.1295/polymj.37.169")</f>
        <v>http://dx.doi.org/10.1295/polymj.37.169</v>
      </c>
      <c r="BG946" t="s">
        <v>74</v>
      </c>
      <c r="BH946" t="s">
        <v>74</v>
      </c>
      <c r="BI946">
        <v>8</v>
      </c>
      <c r="BJ946" t="s">
        <v>13397</v>
      </c>
      <c r="BK946" t="s">
        <v>95</v>
      </c>
      <c r="BL946" t="s">
        <v>13397</v>
      </c>
      <c r="BM946" t="s">
        <v>13398</v>
      </c>
      <c r="BN946" t="s">
        <v>74</v>
      </c>
      <c r="BO946" t="s">
        <v>539</v>
      </c>
      <c r="BP946" t="s">
        <v>74</v>
      </c>
      <c r="BQ946" t="s">
        <v>74</v>
      </c>
      <c r="BR946" t="s">
        <v>97</v>
      </c>
      <c r="BS946" t="s">
        <v>13399</v>
      </c>
      <c r="BT946" t="str">
        <f>HYPERLINK("https%3A%2F%2Fwww.webofscience.com%2Fwos%2Fwoscc%2Ffull-record%2FWOS:000227737600005","View Full Record in Web of Science")</f>
        <v>View Full Record in Web of Science</v>
      </c>
    </row>
    <row r="947" spans="1:72" x14ac:dyDescent="0.15">
      <c r="A947" t="s">
        <v>8867</v>
      </c>
      <c r="B947" t="s">
        <v>10074</v>
      </c>
      <c r="C947" t="s">
        <v>74</v>
      </c>
      <c r="D947" t="s">
        <v>74</v>
      </c>
      <c r="E947" t="s">
        <v>13400</v>
      </c>
      <c r="F947" t="s">
        <v>13401</v>
      </c>
      <c r="G947" t="s">
        <v>74</v>
      </c>
      <c r="H947" t="s">
        <v>74</v>
      </c>
      <c r="I947" t="s">
        <v>10076</v>
      </c>
      <c r="J947" t="s">
        <v>13402</v>
      </c>
      <c r="K947" t="s">
        <v>74</v>
      </c>
      <c r="L947" t="s">
        <v>74</v>
      </c>
      <c r="M947" t="s">
        <v>77</v>
      </c>
      <c r="N947" t="s">
        <v>8873</v>
      </c>
      <c r="O947" t="s">
        <v>10079</v>
      </c>
      <c r="P947" t="s">
        <v>10080</v>
      </c>
      <c r="Q947" t="s">
        <v>10081</v>
      </c>
      <c r="R947" t="s">
        <v>74</v>
      </c>
      <c r="S947" t="s">
        <v>74</v>
      </c>
      <c r="T947" t="s">
        <v>74</v>
      </c>
      <c r="U947" t="s">
        <v>74</v>
      </c>
      <c r="V947" t="s">
        <v>10082</v>
      </c>
      <c r="W947" t="s">
        <v>10083</v>
      </c>
      <c r="X947" t="s">
        <v>3844</v>
      </c>
      <c r="Y947" t="s">
        <v>10084</v>
      </c>
      <c r="Z947" t="s">
        <v>74</v>
      </c>
      <c r="AA947" t="s">
        <v>13403</v>
      </c>
      <c r="AB947" t="s">
        <v>13404</v>
      </c>
      <c r="AC947" t="s">
        <v>74</v>
      </c>
      <c r="AD947" t="s">
        <v>74</v>
      </c>
      <c r="AE947" t="s">
        <v>74</v>
      </c>
      <c r="AF947" t="s">
        <v>74</v>
      </c>
      <c r="AG947">
        <v>5</v>
      </c>
      <c r="AH947">
        <v>1</v>
      </c>
      <c r="AI947">
        <v>1</v>
      </c>
      <c r="AJ947">
        <v>0</v>
      </c>
      <c r="AK947">
        <v>0</v>
      </c>
      <c r="AL947" t="s">
        <v>13405</v>
      </c>
      <c r="AM947" t="s">
        <v>13406</v>
      </c>
      <c r="AN947" t="s">
        <v>13407</v>
      </c>
      <c r="AO947" t="s">
        <v>74</v>
      </c>
      <c r="AP947" t="s">
        <v>74</v>
      </c>
      <c r="AQ947" t="s">
        <v>74</v>
      </c>
      <c r="AR947" t="s">
        <v>74</v>
      </c>
      <c r="AS947" t="s">
        <v>74</v>
      </c>
      <c r="AT947" t="s">
        <v>74</v>
      </c>
      <c r="AU947">
        <v>2005</v>
      </c>
      <c r="AV947" t="s">
        <v>74</v>
      </c>
      <c r="AW947" t="s">
        <v>74</v>
      </c>
      <c r="AX947" t="s">
        <v>74</v>
      </c>
      <c r="AY947" t="s">
        <v>74</v>
      </c>
      <c r="AZ947" t="s">
        <v>74</v>
      </c>
      <c r="BA947" t="s">
        <v>74</v>
      </c>
      <c r="BB947">
        <v>97</v>
      </c>
      <c r="BC947">
        <v>100</v>
      </c>
      <c r="BD947" t="s">
        <v>74</v>
      </c>
      <c r="BE947" t="s">
        <v>74</v>
      </c>
      <c r="BF947" t="s">
        <v>74</v>
      </c>
      <c r="BG947" t="s">
        <v>74</v>
      </c>
      <c r="BH947" t="s">
        <v>74</v>
      </c>
      <c r="BI947">
        <v>4</v>
      </c>
      <c r="BJ947" t="s">
        <v>13408</v>
      </c>
      <c r="BK947" t="s">
        <v>8890</v>
      </c>
      <c r="BL947" t="s">
        <v>13409</v>
      </c>
      <c r="BM947" t="s">
        <v>13410</v>
      </c>
      <c r="BN947" t="s">
        <v>74</v>
      </c>
      <c r="BO947" t="s">
        <v>74</v>
      </c>
      <c r="BP947" t="s">
        <v>74</v>
      </c>
      <c r="BQ947" t="s">
        <v>74</v>
      </c>
      <c r="BR947" t="s">
        <v>97</v>
      </c>
      <c r="BS947" t="s">
        <v>13411</v>
      </c>
      <c r="BT947" t="str">
        <f>HYPERLINK("https%3A%2F%2Fwww.webofscience.com%2Fwos%2Fwoscc%2Ffull-record%2FWOS:000243522100025","View Full Record in Web of Science")</f>
        <v>View Full Record in Web of Science</v>
      </c>
    </row>
    <row r="948" spans="1:72" x14ac:dyDescent="0.15">
      <c r="A948" t="s">
        <v>8867</v>
      </c>
      <c r="B948" t="s">
        <v>13412</v>
      </c>
      <c r="C948" t="s">
        <v>74</v>
      </c>
      <c r="D948" t="s">
        <v>74</v>
      </c>
      <c r="E948" t="s">
        <v>13400</v>
      </c>
      <c r="F948" t="s">
        <v>13413</v>
      </c>
      <c r="G948" t="s">
        <v>74</v>
      </c>
      <c r="H948" t="s">
        <v>74</v>
      </c>
      <c r="I948" t="s">
        <v>13414</v>
      </c>
      <c r="J948" t="s">
        <v>13402</v>
      </c>
      <c r="K948" t="s">
        <v>74</v>
      </c>
      <c r="L948" t="s">
        <v>74</v>
      </c>
      <c r="M948" t="s">
        <v>77</v>
      </c>
      <c r="N948" t="s">
        <v>8873</v>
      </c>
      <c r="O948" t="s">
        <v>10079</v>
      </c>
      <c r="P948" t="s">
        <v>10080</v>
      </c>
      <c r="Q948" t="s">
        <v>10081</v>
      </c>
      <c r="R948" t="s">
        <v>74</v>
      </c>
      <c r="S948" t="s">
        <v>74</v>
      </c>
      <c r="T948" t="s">
        <v>74</v>
      </c>
      <c r="U948" t="s">
        <v>74</v>
      </c>
      <c r="V948" t="s">
        <v>13415</v>
      </c>
      <c r="W948" t="s">
        <v>13416</v>
      </c>
      <c r="X948" t="s">
        <v>1259</v>
      </c>
      <c r="Y948" t="s">
        <v>13417</v>
      </c>
      <c r="Z948" t="s">
        <v>74</v>
      </c>
      <c r="AA948" t="s">
        <v>74</v>
      </c>
      <c r="AB948" t="s">
        <v>74</v>
      </c>
      <c r="AC948" t="s">
        <v>74</v>
      </c>
      <c r="AD948" t="s">
        <v>74</v>
      </c>
      <c r="AE948" t="s">
        <v>74</v>
      </c>
      <c r="AF948" t="s">
        <v>74</v>
      </c>
      <c r="AG948">
        <v>5</v>
      </c>
      <c r="AH948">
        <v>0</v>
      </c>
      <c r="AI948">
        <v>0</v>
      </c>
      <c r="AJ948">
        <v>0</v>
      </c>
      <c r="AK948">
        <v>1</v>
      </c>
      <c r="AL948" t="s">
        <v>13405</v>
      </c>
      <c r="AM948" t="s">
        <v>13406</v>
      </c>
      <c r="AN948" t="s">
        <v>13407</v>
      </c>
      <c r="AO948" t="s">
        <v>74</v>
      </c>
      <c r="AP948" t="s">
        <v>74</v>
      </c>
      <c r="AQ948" t="s">
        <v>74</v>
      </c>
      <c r="AR948" t="s">
        <v>74</v>
      </c>
      <c r="AS948" t="s">
        <v>74</v>
      </c>
      <c r="AT948" t="s">
        <v>74</v>
      </c>
      <c r="AU948">
        <v>2005</v>
      </c>
      <c r="AV948" t="s">
        <v>74</v>
      </c>
      <c r="AW948" t="s">
        <v>74</v>
      </c>
      <c r="AX948" t="s">
        <v>74</v>
      </c>
      <c r="AY948" t="s">
        <v>74</v>
      </c>
      <c r="AZ948" t="s">
        <v>74</v>
      </c>
      <c r="BA948" t="s">
        <v>74</v>
      </c>
      <c r="BB948">
        <v>401</v>
      </c>
      <c r="BC948">
        <v>404</v>
      </c>
      <c r="BD948" t="s">
        <v>74</v>
      </c>
      <c r="BE948" t="s">
        <v>74</v>
      </c>
      <c r="BF948" t="s">
        <v>74</v>
      </c>
      <c r="BG948" t="s">
        <v>74</v>
      </c>
      <c r="BH948" t="s">
        <v>74</v>
      </c>
      <c r="BI948">
        <v>4</v>
      </c>
      <c r="BJ948" t="s">
        <v>13408</v>
      </c>
      <c r="BK948" t="s">
        <v>8890</v>
      </c>
      <c r="BL948" t="s">
        <v>13409</v>
      </c>
      <c r="BM948" t="s">
        <v>13410</v>
      </c>
      <c r="BN948" t="s">
        <v>74</v>
      </c>
      <c r="BO948" t="s">
        <v>74</v>
      </c>
      <c r="BP948" t="s">
        <v>74</v>
      </c>
      <c r="BQ948" t="s">
        <v>74</v>
      </c>
      <c r="BR948" t="s">
        <v>97</v>
      </c>
      <c r="BS948" t="s">
        <v>13418</v>
      </c>
      <c r="BT948" t="str">
        <f>HYPERLINK("https%3A%2F%2Fwww.webofscience.com%2Fwos%2Fwoscc%2Ffull-record%2FWOS:000243522100101","View Full Record in Web of Science")</f>
        <v>View Full Record in Web of Science</v>
      </c>
    </row>
    <row r="949" spans="1:72" x14ac:dyDescent="0.15">
      <c r="A949" t="s">
        <v>8867</v>
      </c>
      <c r="B949" t="s">
        <v>13419</v>
      </c>
      <c r="C949" t="s">
        <v>74</v>
      </c>
      <c r="D949" t="s">
        <v>74</v>
      </c>
      <c r="E949" t="s">
        <v>13400</v>
      </c>
      <c r="F949" t="s">
        <v>13420</v>
      </c>
      <c r="G949" t="s">
        <v>74</v>
      </c>
      <c r="H949" t="s">
        <v>74</v>
      </c>
      <c r="I949" t="s">
        <v>13421</v>
      </c>
      <c r="J949" t="s">
        <v>13402</v>
      </c>
      <c r="K949" t="s">
        <v>74</v>
      </c>
      <c r="L949" t="s">
        <v>74</v>
      </c>
      <c r="M949" t="s">
        <v>77</v>
      </c>
      <c r="N949" t="s">
        <v>8873</v>
      </c>
      <c r="O949" t="s">
        <v>10079</v>
      </c>
      <c r="P949" t="s">
        <v>10080</v>
      </c>
      <c r="Q949" t="s">
        <v>10081</v>
      </c>
      <c r="R949" t="s">
        <v>74</v>
      </c>
      <c r="S949" t="s">
        <v>74</v>
      </c>
      <c r="T949" t="s">
        <v>74</v>
      </c>
      <c r="U949" t="s">
        <v>74</v>
      </c>
      <c r="V949" t="s">
        <v>13422</v>
      </c>
      <c r="W949" t="s">
        <v>13423</v>
      </c>
      <c r="X949" t="s">
        <v>13424</v>
      </c>
      <c r="Y949" t="s">
        <v>13425</v>
      </c>
      <c r="Z949" t="s">
        <v>74</v>
      </c>
      <c r="AA949" t="s">
        <v>13426</v>
      </c>
      <c r="AB949" t="s">
        <v>13427</v>
      </c>
      <c r="AC949" t="s">
        <v>74</v>
      </c>
      <c r="AD949" t="s">
        <v>74</v>
      </c>
      <c r="AE949" t="s">
        <v>74</v>
      </c>
      <c r="AF949" t="s">
        <v>74</v>
      </c>
      <c r="AG949">
        <v>2</v>
      </c>
      <c r="AH949">
        <v>5</v>
      </c>
      <c r="AI949">
        <v>5</v>
      </c>
      <c r="AJ949">
        <v>0</v>
      </c>
      <c r="AK949">
        <v>0</v>
      </c>
      <c r="AL949" t="s">
        <v>13405</v>
      </c>
      <c r="AM949" t="s">
        <v>13406</v>
      </c>
      <c r="AN949" t="s">
        <v>13407</v>
      </c>
      <c r="AO949" t="s">
        <v>74</v>
      </c>
      <c r="AP949" t="s">
        <v>74</v>
      </c>
      <c r="AQ949" t="s">
        <v>74</v>
      </c>
      <c r="AR949" t="s">
        <v>74</v>
      </c>
      <c r="AS949" t="s">
        <v>74</v>
      </c>
      <c r="AT949" t="s">
        <v>74</v>
      </c>
      <c r="AU949">
        <v>2005</v>
      </c>
      <c r="AV949" t="s">
        <v>74</v>
      </c>
      <c r="AW949" t="s">
        <v>74</v>
      </c>
      <c r="AX949" t="s">
        <v>74</v>
      </c>
      <c r="AY949" t="s">
        <v>74</v>
      </c>
      <c r="AZ949" t="s">
        <v>74</v>
      </c>
      <c r="BA949" t="s">
        <v>74</v>
      </c>
      <c r="BB949">
        <v>437</v>
      </c>
      <c r="BC949">
        <v>440</v>
      </c>
      <c r="BD949" t="s">
        <v>74</v>
      </c>
      <c r="BE949" t="s">
        <v>74</v>
      </c>
      <c r="BF949" t="s">
        <v>74</v>
      </c>
      <c r="BG949" t="s">
        <v>74</v>
      </c>
      <c r="BH949" t="s">
        <v>74</v>
      </c>
      <c r="BI949">
        <v>4</v>
      </c>
      <c r="BJ949" t="s">
        <v>13408</v>
      </c>
      <c r="BK949" t="s">
        <v>8890</v>
      </c>
      <c r="BL949" t="s">
        <v>13409</v>
      </c>
      <c r="BM949" t="s">
        <v>13410</v>
      </c>
      <c r="BN949" t="s">
        <v>74</v>
      </c>
      <c r="BO949" t="s">
        <v>74</v>
      </c>
      <c r="BP949" t="s">
        <v>74</v>
      </c>
      <c r="BQ949" t="s">
        <v>74</v>
      </c>
      <c r="BR949" t="s">
        <v>97</v>
      </c>
      <c r="BS949" t="s">
        <v>13428</v>
      </c>
      <c r="BT949" t="str">
        <f>HYPERLINK("https%3A%2F%2Fwww.webofscience.com%2Fwos%2Fwoscc%2Ffull-record%2FWOS:000243522100110","View Full Record in Web of Science")</f>
        <v>View Full Record in Web of Science</v>
      </c>
    </row>
    <row r="950" spans="1:72" x14ac:dyDescent="0.15">
      <c r="A950" t="s">
        <v>8867</v>
      </c>
      <c r="B950" t="s">
        <v>13429</v>
      </c>
      <c r="C950" t="s">
        <v>74</v>
      </c>
      <c r="D950" t="s">
        <v>74</v>
      </c>
      <c r="E950" t="s">
        <v>13430</v>
      </c>
      <c r="F950" t="s">
        <v>13431</v>
      </c>
      <c r="G950" t="s">
        <v>74</v>
      </c>
      <c r="H950" t="s">
        <v>13432</v>
      </c>
      <c r="I950" t="s">
        <v>13433</v>
      </c>
      <c r="J950" t="s">
        <v>13434</v>
      </c>
      <c r="K950" t="s">
        <v>74</v>
      </c>
      <c r="L950" t="s">
        <v>74</v>
      </c>
      <c r="M950" t="s">
        <v>77</v>
      </c>
      <c r="N950" t="s">
        <v>8873</v>
      </c>
      <c r="O950" t="s">
        <v>10079</v>
      </c>
      <c r="P950" t="s">
        <v>10080</v>
      </c>
      <c r="Q950" t="s">
        <v>10081</v>
      </c>
      <c r="R950" t="s">
        <v>74</v>
      </c>
      <c r="S950" t="s">
        <v>74</v>
      </c>
      <c r="T950" t="s">
        <v>74</v>
      </c>
      <c r="U950" t="s">
        <v>11156</v>
      </c>
      <c r="V950" t="s">
        <v>13435</v>
      </c>
      <c r="W950" t="s">
        <v>11038</v>
      </c>
      <c r="X950" t="s">
        <v>9652</v>
      </c>
      <c r="Y950" t="s">
        <v>13436</v>
      </c>
      <c r="Z950" t="s">
        <v>13437</v>
      </c>
      <c r="AA950" t="s">
        <v>13438</v>
      </c>
      <c r="AB950" t="s">
        <v>74</v>
      </c>
      <c r="AC950" t="s">
        <v>74</v>
      </c>
      <c r="AD950" t="s">
        <v>74</v>
      </c>
      <c r="AE950" t="s">
        <v>74</v>
      </c>
      <c r="AF950" t="s">
        <v>74</v>
      </c>
      <c r="AG950">
        <v>11</v>
      </c>
      <c r="AH950">
        <v>12</v>
      </c>
      <c r="AI950">
        <v>12</v>
      </c>
      <c r="AJ950">
        <v>0</v>
      </c>
      <c r="AK950">
        <v>0</v>
      </c>
      <c r="AL950" t="s">
        <v>13405</v>
      </c>
      <c r="AM950" t="s">
        <v>13406</v>
      </c>
      <c r="AN950" t="s">
        <v>13407</v>
      </c>
      <c r="AO950" t="s">
        <v>74</v>
      </c>
      <c r="AP950" t="s">
        <v>74</v>
      </c>
      <c r="AQ950" t="s">
        <v>74</v>
      </c>
      <c r="AR950" t="s">
        <v>74</v>
      </c>
      <c r="AS950" t="s">
        <v>74</v>
      </c>
      <c r="AT950" t="s">
        <v>74</v>
      </c>
      <c r="AU950">
        <v>2005</v>
      </c>
      <c r="AV950" t="s">
        <v>74</v>
      </c>
      <c r="AW950" t="s">
        <v>74</v>
      </c>
      <c r="AX950" t="s">
        <v>74</v>
      </c>
      <c r="AY950" t="s">
        <v>74</v>
      </c>
      <c r="AZ950" t="s">
        <v>74</v>
      </c>
      <c r="BA950" t="s">
        <v>74</v>
      </c>
      <c r="BB950">
        <v>471</v>
      </c>
      <c r="BC950">
        <v>474</v>
      </c>
      <c r="BD950" t="s">
        <v>74</v>
      </c>
      <c r="BE950" t="s">
        <v>74</v>
      </c>
      <c r="BF950" t="s">
        <v>74</v>
      </c>
      <c r="BG950" t="s">
        <v>74</v>
      </c>
      <c r="BH950" t="s">
        <v>74</v>
      </c>
      <c r="BI950">
        <v>4</v>
      </c>
      <c r="BJ950" t="s">
        <v>13408</v>
      </c>
      <c r="BK950" t="s">
        <v>8890</v>
      </c>
      <c r="BL950" t="s">
        <v>13409</v>
      </c>
      <c r="BM950" t="s">
        <v>13439</v>
      </c>
      <c r="BN950" t="s">
        <v>74</v>
      </c>
      <c r="BO950" t="s">
        <v>74</v>
      </c>
      <c r="BP950" t="s">
        <v>74</v>
      </c>
      <c r="BQ950" t="s">
        <v>74</v>
      </c>
      <c r="BR950" t="s">
        <v>97</v>
      </c>
      <c r="BS950" t="s">
        <v>13440</v>
      </c>
      <c r="BT950" t="str">
        <f>HYPERLINK("https%3A%2F%2Fwww.webofscience.com%2Fwos%2Fwoscc%2Ffull-record%2FWOS:000243524200121","View Full Record in Web of Science")</f>
        <v>View Full Record in Web of Science</v>
      </c>
    </row>
    <row r="951" spans="1:72" x14ac:dyDescent="0.15">
      <c r="A951" t="s">
        <v>8867</v>
      </c>
      <c r="B951" t="s">
        <v>13441</v>
      </c>
      <c r="C951" t="s">
        <v>74</v>
      </c>
      <c r="D951" t="s">
        <v>74</v>
      </c>
      <c r="E951" t="s">
        <v>13430</v>
      </c>
      <c r="F951" t="s">
        <v>13442</v>
      </c>
      <c r="G951" t="s">
        <v>74</v>
      </c>
      <c r="H951" t="s">
        <v>13443</v>
      </c>
      <c r="I951" t="s">
        <v>13444</v>
      </c>
      <c r="J951" t="s">
        <v>13445</v>
      </c>
      <c r="K951" t="s">
        <v>74</v>
      </c>
      <c r="L951" t="s">
        <v>74</v>
      </c>
      <c r="M951" t="s">
        <v>77</v>
      </c>
      <c r="N951" t="s">
        <v>8873</v>
      </c>
      <c r="O951" t="s">
        <v>10079</v>
      </c>
      <c r="P951" t="s">
        <v>10080</v>
      </c>
      <c r="Q951" t="s">
        <v>10081</v>
      </c>
      <c r="R951" t="s">
        <v>74</v>
      </c>
      <c r="S951" t="s">
        <v>74</v>
      </c>
      <c r="T951" t="s">
        <v>74</v>
      </c>
      <c r="U951" t="s">
        <v>74</v>
      </c>
      <c r="V951" t="s">
        <v>13446</v>
      </c>
      <c r="W951" t="s">
        <v>13447</v>
      </c>
      <c r="X951" t="s">
        <v>13448</v>
      </c>
      <c r="Y951" t="s">
        <v>13449</v>
      </c>
      <c r="Z951" t="s">
        <v>13450</v>
      </c>
      <c r="AA951" t="s">
        <v>74</v>
      </c>
      <c r="AB951" t="s">
        <v>74</v>
      </c>
      <c r="AC951" t="s">
        <v>74</v>
      </c>
      <c r="AD951" t="s">
        <v>74</v>
      </c>
      <c r="AE951" t="s">
        <v>74</v>
      </c>
      <c r="AF951" t="s">
        <v>74</v>
      </c>
      <c r="AG951">
        <v>13</v>
      </c>
      <c r="AH951">
        <v>3</v>
      </c>
      <c r="AI951">
        <v>3</v>
      </c>
      <c r="AJ951">
        <v>0</v>
      </c>
      <c r="AK951">
        <v>0</v>
      </c>
      <c r="AL951" t="s">
        <v>13405</v>
      </c>
      <c r="AM951" t="s">
        <v>13406</v>
      </c>
      <c r="AN951" t="s">
        <v>13407</v>
      </c>
      <c r="AO951" t="s">
        <v>74</v>
      </c>
      <c r="AP951" t="s">
        <v>74</v>
      </c>
      <c r="AQ951" t="s">
        <v>74</v>
      </c>
      <c r="AR951" t="s">
        <v>74</v>
      </c>
      <c r="AS951" t="s">
        <v>74</v>
      </c>
      <c r="AT951" t="s">
        <v>74</v>
      </c>
      <c r="AU951">
        <v>2005</v>
      </c>
      <c r="AV951" t="s">
        <v>74</v>
      </c>
      <c r="AW951" t="s">
        <v>74</v>
      </c>
      <c r="AX951" t="s">
        <v>74</v>
      </c>
      <c r="AY951" t="s">
        <v>74</v>
      </c>
      <c r="AZ951" t="s">
        <v>74</v>
      </c>
      <c r="BA951" t="s">
        <v>74</v>
      </c>
      <c r="BB951">
        <v>17</v>
      </c>
      <c r="BC951">
        <v>20</v>
      </c>
      <c r="BD951" t="s">
        <v>74</v>
      </c>
      <c r="BE951" t="s">
        <v>74</v>
      </c>
      <c r="BF951" t="s">
        <v>74</v>
      </c>
      <c r="BG951" t="s">
        <v>74</v>
      </c>
      <c r="BH951" t="s">
        <v>74</v>
      </c>
      <c r="BI951">
        <v>4</v>
      </c>
      <c r="BJ951" t="s">
        <v>13408</v>
      </c>
      <c r="BK951" t="s">
        <v>8890</v>
      </c>
      <c r="BL951" t="s">
        <v>13409</v>
      </c>
      <c r="BM951" t="s">
        <v>13451</v>
      </c>
      <c r="BN951" t="s">
        <v>74</v>
      </c>
      <c r="BO951" t="s">
        <v>74</v>
      </c>
      <c r="BP951" t="s">
        <v>74</v>
      </c>
      <c r="BQ951" t="s">
        <v>74</v>
      </c>
      <c r="BR951" t="s">
        <v>97</v>
      </c>
      <c r="BS951" t="s">
        <v>13452</v>
      </c>
      <c r="BT951" t="str">
        <f>HYPERLINK("https%3A%2F%2Fwww.webofscience.com%2Fwos%2Fwoscc%2Ffull-record%2FWOS:000243524500005","View Full Record in Web of Science")</f>
        <v>View Full Record in Web of Science</v>
      </c>
    </row>
    <row r="952" spans="1:72" x14ac:dyDescent="0.15">
      <c r="A952" t="s">
        <v>8867</v>
      </c>
      <c r="B952" t="s">
        <v>13453</v>
      </c>
      <c r="C952" t="s">
        <v>74</v>
      </c>
      <c r="D952" t="s">
        <v>74</v>
      </c>
      <c r="E952" t="s">
        <v>13430</v>
      </c>
      <c r="F952" t="s">
        <v>13454</v>
      </c>
      <c r="G952" t="s">
        <v>74</v>
      </c>
      <c r="H952" t="s">
        <v>74</v>
      </c>
      <c r="I952" t="s">
        <v>13455</v>
      </c>
      <c r="J952" t="s">
        <v>13456</v>
      </c>
      <c r="K952" t="s">
        <v>74</v>
      </c>
      <c r="L952" t="s">
        <v>74</v>
      </c>
      <c r="M952" t="s">
        <v>77</v>
      </c>
      <c r="N952" t="s">
        <v>8873</v>
      </c>
      <c r="O952" t="s">
        <v>10079</v>
      </c>
      <c r="P952" t="s">
        <v>10080</v>
      </c>
      <c r="Q952" t="s">
        <v>10081</v>
      </c>
      <c r="R952" t="s">
        <v>74</v>
      </c>
      <c r="S952" t="s">
        <v>74</v>
      </c>
      <c r="T952" t="s">
        <v>74</v>
      </c>
      <c r="U952" t="s">
        <v>13457</v>
      </c>
      <c r="V952" t="s">
        <v>13458</v>
      </c>
      <c r="W952" t="s">
        <v>13459</v>
      </c>
      <c r="X952" t="s">
        <v>2123</v>
      </c>
      <c r="Y952" t="s">
        <v>13460</v>
      </c>
      <c r="Z952" t="s">
        <v>74</v>
      </c>
      <c r="AA952" t="s">
        <v>13461</v>
      </c>
      <c r="AB952" t="s">
        <v>13462</v>
      </c>
      <c r="AC952" t="s">
        <v>74</v>
      </c>
      <c r="AD952" t="s">
        <v>74</v>
      </c>
      <c r="AE952" t="s">
        <v>74</v>
      </c>
      <c r="AF952" t="s">
        <v>74</v>
      </c>
      <c r="AG952">
        <v>11</v>
      </c>
      <c r="AH952">
        <v>0</v>
      </c>
      <c r="AI952">
        <v>0</v>
      </c>
      <c r="AJ952">
        <v>0</v>
      </c>
      <c r="AK952">
        <v>0</v>
      </c>
      <c r="AL952" t="s">
        <v>13405</v>
      </c>
      <c r="AM952" t="s">
        <v>13406</v>
      </c>
      <c r="AN952" t="s">
        <v>13407</v>
      </c>
      <c r="AO952" t="s">
        <v>74</v>
      </c>
      <c r="AP952" t="s">
        <v>74</v>
      </c>
      <c r="AQ952" t="s">
        <v>74</v>
      </c>
      <c r="AR952" t="s">
        <v>74</v>
      </c>
      <c r="AS952" t="s">
        <v>74</v>
      </c>
      <c r="AT952" t="s">
        <v>74</v>
      </c>
      <c r="AU952">
        <v>2005</v>
      </c>
      <c r="AV952" t="s">
        <v>74</v>
      </c>
      <c r="AW952" t="s">
        <v>74</v>
      </c>
      <c r="AX952" t="s">
        <v>74</v>
      </c>
      <c r="AY952" t="s">
        <v>74</v>
      </c>
      <c r="AZ952" t="s">
        <v>74</v>
      </c>
      <c r="BA952" t="s">
        <v>74</v>
      </c>
      <c r="BB952">
        <v>107</v>
      </c>
      <c r="BC952">
        <v>110</v>
      </c>
      <c r="BD952" t="s">
        <v>74</v>
      </c>
      <c r="BE952" t="s">
        <v>74</v>
      </c>
      <c r="BF952" t="s">
        <v>74</v>
      </c>
      <c r="BG952" t="s">
        <v>74</v>
      </c>
      <c r="BH952" t="s">
        <v>74</v>
      </c>
      <c r="BI952">
        <v>4</v>
      </c>
      <c r="BJ952" t="s">
        <v>13408</v>
      </c>
      <c r="BK952" t="s">
        <v>8890</v>
      </c>
      <c r="BL952" t="s">
        <v>13409</v>
      </c>
      <c r="BM952" t="s">
        <v>13451</v>
      </c>
      <c r="BN952" t="s">
        <v>74</v>
      </c>
      <c r="BO952" t="s">
        <v>74</v>
      </c>
      <c r="BP952" t="s">
        <v>74</v>
      </c>
      <c r="BQ952" t="s">
        <v>74</v>
      </c>
      <c r="BR952" t="s">
        <v>97</v>
      </c>
      <c r="BS952" t="s">
        <v>13463</v>
      </c>
      <c r="BT952" t="str">
        <f>HYPERLINK("https%3A%2F%2Fwww.webofscience.com%2Fwos%2Fwoscc%2Ffull-record%2FWOS:000243524500028","View Full Record in Web of Science")</f>
        <v>View Full Record in Web of Science</v>
      </c>
    </row>
    <row r="953" spans="1:72" x14ac:dyDescent="0.15">
      <c r="A953" t="s">
        <v>8867</v>
      </c>
      <c r="B953" t="s">
        <v>13464</v>
      </c>
      <c r="C953" t="s">
        <v>74</v>
      </c>
      <c r="D953" t="s">
        <v>74</v>
      </c>
      <c r="E953" t="s">
        <v>13430</v>
      </c>
      <c r="F953" t="s">
        <v>13465</v>
      </c>
      <c r="G953" t="s">
        <v>74</v>
      </c>
      <c r="H953" t="s">
        <v>74</v>
      </c>
      <c r="I953" t="s">
        <v>13466</v>
      </c>
      <c r="J953" t="s">
        <v>13445</v>
      </c>
      <c r="K953" t="s">
        <v>74</v>
      </c>
      <c r="L953" t="s">
        <v>74</v>
      </c>
      <c r="M953" t="s">
        <v>77</v>
      </c>
      <c r="N953" t="s">
        <v>8873</v>
      </c>
      <c r="O953" t="s">
        <v>10079</v>
      </c>
      <c r="P953" t="s">
        <v>10080</v>
      </c>
      <c r="Q953" t="s">
        <v>10081</v>
      </c>
      <c r="R953" t="s">
        <v>74</v>
      </c>
      <c r="S953" t="s">
        <v>74</v>
      </c>
      <c r="T953" t="s">
        <v>74</v>
      </c>
      <c r="U953" t="s">
        <v>13467</v>
      </c>
      <c r="V953" t="s">
        <v>13468</v>
      </c>
      <c r="W953" t="s">
        <v>13469</v>
      </c>
      <c r="X953" t="s">
        <v>8382</v>
      </c>
      <c r="Y953" t="s">
        <v>13470</v>
      </c>
      <c r="Z953" t="s">
        <v>13471</v>
      </c>
      <c r="AA953" t="s">
        <v>74</v>
      </c>
      <c r="AB953" t="s">
        <v>13472</v>
      </c>
      <c r="AC953" t="s">
        <v>74</v>
      </c>
      <c r="AD953" t="s">
        <v>74</v>
      </c>
      <c r="AE953" t="s">
        <v>74</v>
      </c>
      <c r="AF953" t="s">
        <v>74</v>
      </c>
      <c r="AG953">
        <v>15</v>
      </c>
      <c r="AH953">
        <v>0</v>
      </c>
      <c r="AI953">
        <v>0</v>
      </c>
      <c r="AJ953">
        <v>0</v>
      </c>
      <c r="AK953">
        <v>0</v>
      </c>
      <c r="AL953" t="s">
        <v>13405</v>
      </c>
      <c r="AM953" t="s">
        <v>13406</v>
      </c>
      <c r="AN953" t="s">
        <v>13407</v>
      </c>
      <c r="AO953" t="s">
        <v>74</v>
      </c>
      <c r="AP953" t="s">
        <v>74</v>
      </c>
      <c r="AQ953" t="s">
        <v>74</v>
      </c>
      <c r="AR953" t="s">
        <v>74</v>
      </c>
      <c r="AS953" t="s">
        <v>74</v>
      </c>
      <c r="AT953" t="s">
        <v>74</v>
      </c>
      <c r="AU953">
        <v>2005</v>
      </c>
      <c r="AV953" t="s">
        <v>74</v>
      </c>
      <c r="AW953" t="s">
        <v>74</v>
      </c>
      <c r="AX953" t="s">
        <v>74</v>
      </c>
      <c r="AY953" t="s">
        <v>74</v>
      </c>
      <c r="AZ953" t="s">
        <v>74</v>
      </c>
      <c r="BA953" t="s">
        <v>74</v>
      </c>
      <c r="BB953">
        <v>123</v>
      </c>
      <c r="BC953">
        <v>126</v>
      </c>
      <c r="BD953" t="s">
        <v>74</v>
      </c>
      <c r="BE953" t="s">
        <v>74</v>
      </c>
      <c r="BF953" t="s">
        <v>74</v>
      </c>
      <c r="BG953" t="s">
        <v>74</v>
      </c>
      <c r="BH953" t="s">
        <v>74</v>
      </c>
      <c r="BI953">
        <v>4</v>
      </c>
      <c r="BJ953" t="s">
        <v>13408</v>
      </c>
      <c r="BK953" t="s">
        <v>8890</v>
      </c>
      <c r="BL953" t="s">
        <v>13409</v>
      </c>
      <c r="BM953" t="s">
        <v>13451</v>
      </c>
      <c r="BN953" t="s">
        <v>74</v>
      </c>
      <c r="BO953" t="s">
        <v>74</v>
      </c>
      <c r="BP953" t="s">
        <v>74</v>
      </c>
      <c r="BQ953" t="s">
        <v>74</v>
      </c>
      <c r="BR953" t="s">
        <v>97</v>
      </c>
      <c r="BS953" t="s">
        <v>13473</v>
      </c>
      <c r="BT953" t="str">
        <f>HYPERLINK("https%3A%2F%2Fwww.webofscience.com%2Fwos%2Fwoscc%2Ffull-record%2FWOS:000243524500032","View Full Record in Web of Science")</f>
        <v>View Full Record in Web of Science</v>
      </c>
    </row>
    <row r="954" spans="1:72" x14ac:dyDescent="0.15">
      <c r="A954" t="s">
        <v>8867</v>
      </c>
      <c r="B954" t="s">
        <v>13002</v>
      </c>
      <c r="C954" t="s">
        <v>74</v>
      </c>
      <c r="D954" t="s">
        <v>74</v>
      </c>
      <c r="E954" t="s">
        <v>13430</v>
      </c>
      <c r="F954" t="s">
        <v>13474</v>
      </c>
      <c r="G954" t="s">
        <v>74</v>
      </c>
      <c r="H954" t="s">
        <v>13475</v>
      </c>
      <c r="I954" t="s">
        <v>13476</v>
      </c>
      <c r="J954" t="s">
        <v>13445</v>
      </c>
      <c r="K954" t="s">
        <v>74</v>
      </c>
      <c r="L954" t="s">
        <v>74</v>
      </c>
      <c r="M954" t="s">
        <v>77</v>
      </c>
      <c r="N954" t="s">
        <v>8873</v>
      </c>
      <c r="O954" t="s">
        <v>10079</v>
      </c>
      <c r="P954" t="s">
        <v>10080</v>
      </c>
      <c r="Q954" t="s">
        <v>10081</v>
      </c>
      <c r="R954" t="s">
        <v>74</v>
      </c>
      <c r="S954" t="s">
        <v>74</v>
      </c>
      <c r="T954" t="s">
        <v>74</v>
      </c>
      <c r="U954" t="s">
        <v>13007</v>
      </c>
      <c r="V954" t="s">
        <v>13477</v>
      </c>
      <c r="W954" t="s">
        <v>977</v>
      </c>
      <c r="X954" t="s">
        <v>978</v>
      </c>
      <c r="Y954" t="s">
        <v>13478</v>
      </c>
      <c r="Z954" t="s">
        <v>13479</v>
      </c>
      <c r="AA954" t="s">
        <v>74</v>
      </c>
      <c r="AB954" t="s">
        <v>74</v>
      </c>
      <c r="AC954" t="s">
        <v>74</v>
      </c>
      <c r="AD954" t="s">
        <v>74</v>
      </c>
      <c r="AE954" t="s">
        <v>74</v>
      </c>
      <c r="AF954" t="s">
        <v>74</v>
      </c>
      <c r="AG954">
        <v>15</v>
      </c>
      <c r="AH954">
        <v>5</v>
      </c>
      <c r="AI954">
        <v>5</v>
      </c>
      <c r="AJ954">
        <v>0</v>
      </c>
      <c r="AK954">
        <v>0</v>
      </c>
      <c r="AL954" t="s">
        <v>13405</v>
      </c>
      <c r="AM954" t="s">
        <v>13406</v>
      </c>
      <c r="AN954" t="s">
        <v>13407</v>
      </c>
      <c r="AO954" t="s">
        <v>74</v>
      </c>
      <c r="AP954" t="s">
        <v>74</v>
      </c>
      <c r="AQ954" t="s">
        <v>74</v>
      </c>
      <c r="AR954" t="s">
        <v>74</v>
      </c>
      <c r="AS954" t="s">
        <v>74</v>
      </c>
      <c r="AT954" t="s">
        <v>74</v>
      </c>
      <c r="AU954">
        <v>2005</v>
      </c>
      <c r="AV954" t="s">
        <v>74</v>
      </c>
      <c r="AW954" t="s">
        <v>74</v>
      </c>
      <c r="AX954" t="s">
        <v>74</v>
      </c>
      <c r="AY954" t="s">
        <v>74</v>
      </c>
      <c r="AZ954" t="s">
        <v>74</v>
      </c>
      <c r="BA954" t="s">
        <v>74</v>
      </c>
      <c r="BB954">
        <v>131</v>
      </c>
      <c r="BC954">
        <v>134</v>
      </c>
      <c r="BD954" t="s">
        <v>74</v>
      </c>
      <c r="BE954" t="s">
        <v>74</v>
      </c>
      <c r="BF954" t="s">
        <v>74</v>
      </c>
      <c r="BG954" t="s">
        <v>74</v>
      </c>
      <c r="BH954" t="s">
        <v>74</v>
      </c>
      <c r="BI954">
        <v>4</v>
      </c>
      <c r="BJ954" t="s">
        <v>13408</v>
      </c>
      <c r="BK954" t="s">
        <v>8890</v>
      </c>
      <c r="BL954" t="s">
        <v>13409</v>
      </c>
      <c r="BM954" t="s">
        <v>13451</v>
      </c>
      <c r="BN954" t="s">
        <v>74</v>
      </c>
      <c r="BO954" t="s">
        <v>74</v>
      </c>
      <c r="BP954" t="s">
        <v>74</v>
      </c>
      <c r="BQ954" t="s">
        <v>74</v>
      </c>
      <c r="BR954" t="s">
        <v>97</v>
      </c>
      <c r="BS954" t="s">
        <v>13480</v>
      </c>
      <c r="BT954" t="str">
        <f>HYPERLINK("https%3A%2F%2Fwww.webofscience.com%2Fwos%2Fwoscc%2Ffull-record%2FWOS:000243524500034","View Full Record in Web of Science")</f>
        <v>View Full Record in Web of Science</v>
      </c>
    </row>
    <row r="955" spans="1:72" x14ac:dyDescent="0.15">
      <c r="A955" t="s">
        <v>8867</v>
      </c>
      <c r="B955" t="s">
        <v>13481</v>
      </c>
      <c r="C955" t="s">
        <v>74</v>
      </c>
      <c r="D955" t="s">
        <v>74</v>
      </c>
      <c r="E955" t="s">
        <v>13430</v>
      </c>
      <c r="F955" t="s">
        <v>13482</v>
      </c>
      <c r="G955" t="s">
        <v>74</v>
      </c>
      <c r="H955" t="s">
        <v>74</v>
      </c>
      <c r="I955" t="s">
        <v>13483</v>
      </c>
      <c r="J955" t="s">
        <v>13456</v>
      </c>
      <c r="K955" t="s">
        <v>74</v>
      </c>
      <c r="L955" t="s">
        <v>74</v>
      </c>
      <c r="M955" t="s">
        <v>77</v>
      </c>
      <c r="N955" t="s">
        <v>8873</v>
      </c>
      <c r="O955" t="s">
        <v>10079</v>
      </c>
      <c r="P955" t="s">
        <v>10080</v>
      </c>
      <c r="Q955" t="s">
        <v>10081</v>
      </c>
      <c r="R955" t="s">
        <v>74</v>
      </c>
      <c r="S955" t="s">
        <v>74</v>
      </c>
      <c r="T955" t="s">
        <v>74</v>
      </c>
      <c r="U955" t="s">
        <v>13457</v>
      </c>
      <c r="V955" t="s">
        <v>13484</v>
      </c>
      <c r="W955" t="s">
        <v>13485</v>
      </c>
      <c r="X955" t="s">
        <v>13486</v>
      </c>
      <c r="Y955" t="s">
        <v>13487</v>
      </c>
      <c r="Z955" t="s">
        <v>74</v>
      </c>
      <c r="AA955" t="s">
        <v>13488</v>
      </c>
      <c r="AB955" t="s">
        <v>13489</v>
      </c>
      <c r="AC955" t="s">
        <v>74</v>
      </c>
      <c r="AD955" t="s">
        <v>74</v>
      </c>
      <c r="AE955" t="s">
        <v>74</v>
      </c>
      <c r="AF955" t="s">
        <v>74</v>
      </c>
      <c r="AG955">
        <v>10</v>
      </c>
      <c r="AH955">
        <v>0</v>
      </c>
      <c r="AI955">
        <v>0</v>
      </c>
      <c r="AJ955">
        <v>0</v>
      </c>
      <c r="AK955">
        <v>0</v>
      </c>
      <c r="AL955" t="s">
        <v>13405</v>
      </c>
      <c r="AM955" t="s">
        <v>13406</v>
      </c>
      <c r="AN955" t="s">
        <v>13407</v>
      </c>
      <c r="AO955" t="s">
        <v>74</v>
      </c>
      <c r="AP955" t="s">
        <v>74</v>
      </c>
      <c r="AQ955" t="s">
        <v>74</v>
      </c>
      <c r="AR955" t="s">
        <v>74</v>
      </c>
      <c r="AS955" t="s">
        <v>74</v>
      </c>
      <c r="AT955" t="s">
        <v>74</v>
      </c>
      <c r="AU955">
        <v>2005</v>
      </c>
      <c r="AV955" t="s">
        <v>74</v>
      </c>
      <c r="AW955" t="s">
        <v>74</v>
      </c>
      <c r="AX955" t="s">
        <v>74</v>
      </c>
      <c r="AY955" t="s">
        <v>74</v>
      </c>
      <c r="AZ955" t="s">
        <v>74</v>
      </c>
      <c r="BA955" t="s">
        <v>74</v>
      </c>
      <c r="BB955">
        <v>415</v>
      </c>
      <c r="BC955">
        <v>418</v>
      </c>
      <c r="BD955" t="s">
        <v>74</v>
      </c>
      <c r="BE955" t="s">
        <v>74</v>
      </c>
      <c r="BF955" t="s">
        <v>74</v>
      </c>
      <c r="BG955" t="s">
        <v>74</v>
      </c>
      <c r="BH955" t="s">
        <v>74</v>
      </c>
      <c r="BI955">
        <v>4</v>
      </c>
      <c r="BJ955" t="s">
        <v>13408</v>
      </c>
      <c r="BK955" t="s">
        <v>8890</v>
      </c>
      <c r="BL955" t="s">
        <v>13409</v>
      </c>
      <c r="BM955" t="s">
        <v>13451</v>
      </c>
      <c r="BN955" t="s">
        <v>74</v>
      </c>
      <c r="BO955" t="s">
        <v>74</v>
      </c>
      <c r="BP955" t="s">
        <v>74</v>
      </c>
      <c r="BQ955" t="s">
        <v>74</v>
      </c>
      <c r="BR955" t="s">
        <v>97</v>
      </c>
      <c r="BS955" t="s">
        <v>13490</v>
      </c>
      <c r="BT955" t="str">
        <f>HYPERLINK("https%3A%2F%2Fwww.webofscience.com%2Fwos%2Fwoscc%2Ffull-record%2FWOS:000243524500105","View Full Record in Web of Science")</f>
        <v>View Full Record in Web of Science</v>
      </c>
    </row>
    <row r="956" spans="1:72" x14ac:dyDescent="0.15">
      <c r="A956" t="s">
        <v>8867</v>
      </c>
      <c r="B956" t="s">
        <v>13491</v>
      </c>
      <c r="C956" t="s">
        <v>74</v>
      </c>
      <c r="D956" t="s">
        <v>13492</v>
      </c>
      <c r="E956" t="s">
        <v>74</v>
      </c>
      <c r="F956" t="s">
        <v>13491</v>
      </c>
      <c r="G956" t="s">
        <v>74</v>
      </c>
      <c r="H956" t="s">
        <v>74</v>
      </c>
      <c r="I956" t="s">
        <v>13493</v>
      </c>
      <c r="J956" t="s">
        <v>13494</v>
      </c>
      <c r="K956" t="s">
        <v>74</v>
      </c>
      <c r="L956" t="s">
        <v>74</v>
      </c>
      <c r="M956" t="s">
        <v>77</v>
      </c>
      <c r="N956" t="s">
        <v>8873</v>
      </c>
      <c r="O956" t="s">
        <v>13495</v>
      </c>
      <c r="P956" t="s">
        <v>13496</v>
      </c>
      <c r="Q956" t="s">
        <v>13497</v>
      </c>
      <c r="R956" t="s">
        <v>74</v>
      </c>
      <c r="S956" t="s">
        <v>74</v>
      </c>
      <c r="T956" t="s">
        <v>74</v>
      </c>
      <c r="U956" t="s">
        <v>74</v>
      </c>
      <c r="V956" t="s">
        <v>13498</v>
      </c>
      <c r="W956" t="s">
        <v>13499</v>
      </c>
      <c r="X956" t="s">
        <v>74</v>
      </c>
      <c r="Y956" t="s">
        <v>13500</v>
      </c>
      <c r="Z956" t="s">
        <v>74</v>
      </c>
      <c r="AA956" t="s">
        <v>74</v>
      </c>
      <c r="AB956" t="s">
        <v>74</v>
      </c>
      <c r="AC956" t="s">
        <v>74</v>
      </c>
      <c r="AD956" t="s">
        <v>74</v>
      </c>
      <c r="AE956" t="s">
        <v>74</v>
      </c>
      <c r="AF956" t="s">
        <v>74</v>
      </c>
      <c r="AG956">
        <v>0</v>
      </c>
      <c r="AH956">
        <v>0</v>
      </c>
      <c r="AI956">
        <v>0</v>
      </c>
      <c r="AJ956">
        <v>0</v>
      </c>
      <c r="AK956">
        <v>4</v>
      </c>
      <c r="AL956" t="s">
        <v>13501</v>
      </c>
      <c r="AM956" t="s">
        <v>13502</v>
      </c>
      <c r="AN956" t="s">
        <v>13503</v>
      </c>
      <c r="AO956" t="s">
        <v>74</v>
      </c>
      <c r="AP956" t="s">
        <v>74</v>
      </c>
      <c r="AQ956" t="s">
        <v>13504</v>
      </c>
      <c r="AR956" t="s">
        <v>74</v>
      </c>
      <c r="AS956" t="s">
        <v>74</v>
      </c>
      <c r="AT956" t="s">
        <v>74</v>
      </c>
      <c r="AU956">
        <v>2005</v>
      </c>
      <c r="AV956" t="s">
        <v>74</v>
      </c>
      <c r="AW956" t="s">
        <v>74</v>
      </c>
      <c r="AX956" t="s">
        <v>74</v>
      </c>
      <c r="AY956" t="s">
        <v>74</v>
      </c>
      <c r="AZ956" t="s">
        <v>74</v>
      </c>
      <c r="BA956" t="s">
        <v>74</v>
      </c>
      <c r="BB956">
        <v>22</v>
      </c>
      <c r="BC956">
        <v>27</v>
      </c>
      <c r="BD956" t="s">
        <v>74</v>
      </c>
      <c r="BE956" t="s">
        <v>74</v>
      </c>
      <c r="BF956" t="s">
        <v>74</v>
      </c>
      <c r="BG956" t="s">
        <v>74</v>
      </c>
      <c r="BH956" t="s">
        <v>74</v>
      </c>
      <c r="BI956">
        <v>6</v>
      </c>
      <c r="BJ956" t="s">
        <v>13505</v>
      </c>
      <c r="BK956" t="s">
        <v>8890</v>
      </c>
      <c r="BL956" t="s">
        <v>13505</v>
      </c>
      <c r="BM956" t="s">
        <v>13506</v>
      </c>
      <c r="BN956" t="s">
        <v>74</v>
      </c>
      <c r="BO956" t="s">
        <v>74</v>
      </c>
      <c r="BP956" t="s">
        <v>74</v>
      </c>
      <c r="BQ956" t="s">
        <v>74</v>
      </c>
      <c r="BR956" t="s">
        <v>97</v>
      </c>
      <c r="BS956" t="s">
        <v>13507</v>
      </c>
      <c r="BT956" t="str">
        <f>HYPERLINK("https%3A%2F%2Fwww.webofscience.com%2Fwos%2Fwoscc%2Ffull-record%2FWOS:000228604500005","View Full Record in Web of Science")</f>
        <v>View Full Record in Web of Science</v>
      </c>
    </row>
    <row r="957" spans="1:72" x14ac:dyDescent="0.15">
      <c r="A957" t="s">
        <v>8867</v>
      </c>
      <c r="B957" t="s">
        <v>13508</v>
      </c>
      <c r="C957" t="s">
        <v>74</v>
      </c>
      <c r="D957" t="s">
        <v>13509</v>
      </c>
      <c r="E957" t="s">
        <v>74</v>
      </c>
      <c r="F957" t="s">
        <v>13508</v>
      </c>
      <c r="G957" t="s">
        <v>74</v>
      </c>
      <c r="H957" t="s">
        <v>74</v>
      </c>
      <c r="I957" t="s">
        <v>13510</v>
      </c>
      <c r="J957" t="s">
        <v>13511</v>
      </c>
      <c r="K957" t="s">
        <v>13512</v>
      </c>
      <c r="L957" t="s">
        <v>74</v>
      </c>
      <c r="M957" t="s">
        <v>77</v>
      </c>
      <c r="N957" t="s">
        <v>8873</v>
      </c>
      <c r="O957" t="s">
        <v>13513</v>
      </c>
      <c r="P957" t="s">
        <v>13514</v>
      </c>
      <c r="Q957" t="s">
        <v>9687</v>
      </c>
      <c r="R957" t="s">
        <v>74</v>
      </c>
      <c r="S957" t="s">
        <v>74</v>
      </c>
      <c r="T957" t="s">
        <v>13515</v>
      </c>
      <c r="U957" t="s">
        <v>74</v>
      </c>
      <c r="V957" t="s">
        <v>13516</v>
      </c>
      <c r="W957" t="s">
        <v>13517</v>
      </c>
      <c r="X957" t="s">
        <v>13518</v>
      </c>
      <c r="Y957" t="s">
        <v>13519</v>
      </c>
      <c r="Z957" t="s">
        <v>74</v>
      </c>
      <c r="AA957" t="s">
        <v>13520</v>
      </c>
      <c r="AB957" t="s">
        <v>13521</v>
      </c>
      <c r="AC957" t="s">
        <v>74</v>
      </c>
      <c r="AD957" t="s">
        <v>74</v>
      </c>
      <c r="AE957" t="s">
        <v>74</v>
      </c>
      <c r="AF957" t="s">
        <v>74</v>
      </c>
      <c r="AG957">
        <v>6</v>
      </c>
      <c r="AH957">
        <v>1</v>
      </c>
      <c r="AI957">
        <v>1</v>
      </c>
      <c r="AJ957">
        <v>0</v>
      </c>
      <c r="AK957">
        <v>0</v>
      </c>
      <c r="AL957" t="s">
        <v>13522</v>
      </c>
      <c r="AM957" t="s">
        <v>13523</v>
      </c>
      <c r="AN957" t="s">
        <v>13524</v>
      </c>
      <c r="AO957" t="s">
        <v>13525</v>
      </c>
      <c r="AP957" t="s">
        <v>74</v>
      </c>
      <c r="AQ957" t="s">
        <v>74</v>
      </c>
      <c r="AR957" t="s">
        <v>13526</v>
      </c>
      <c r="AS957" t="s">
        <v>74</v>
      </c>
      <c r="AT957" t="s">
        <v>74</v>
      </c>
      <c r="AU957">
        <v>2005</v>
      </c>
      <c r="AV957">
        <v>577</v>
      </c>
      <c r="AW957" t="s">
        <v>74</v>
      </c>
      <c r="AX957" t="s">
        <v>74</v>
      </c>
      <c r="AY957" t="s">
        <v>74</v>
      </c>
      <c r="AZ957" t="s">
        <v>74</v>
      </c>
      <c r="BA957" t="s">
        <v>74</v>
      </c>
      <c r="BB957">
        <v>451</v>
      </c>
      <c r="BC957">
        <v>452</v>
      </c>
      <c r="BD957" t="s">
        <v>74</v>
      </c>
      <c r="BE957" t="s">
        <v>74</v>
      </c>
      <c r="BF957" t="s">
        <v>74</v>
      </c>
      <c r="BG957" t="s">
        <v>74</v>
      </c>
      <c r="BH957" t="s">
        <v>74</v>
      </c>
      <c r="BI957">
        <v>2</v>
      </c>
      <c r="BJ957" t="s">
        <v>853</v>
      </c>
      <c r="BK957" t="s">
        <v>8890</v>
      </c>
      <c r="BL957" t="s">
        <v>853</v>
      </c>
      <c r="BM957" t="s">
        <v>13527</v>
      </c>
      <c r="BN957" t="s">
        <v>74</v>
      </c>
      <c r="BO957" t="s">
        <v>74</v>
      </c>
      <c r="BP957" t="s">
        <v>74</v>
      </c>
      <c r="BQ957" t="s">
        <v>74</v>
      </c>
      <c r="BR957" t="s">
        <v>97</v>
      </c>
      <c r="BS957" t="s">
        <v>13528</v>
      </c>
      <c r="BT957" t="str">
        <f>HYPERLINK("https%3A%2F%2Fwww.webofscience.com%2Fwos%2Fwoscc%2Ffull-record%2FWOS:000227350800134","View Full Record in Web of Science")</f>
        <v>View Full Record in Web of Science</v>
      </c>
    </row>
    <row r="958" spans="1:72" x14ac:dyDescent="0.15">
      <c r="A958" t="s">
        <v>8867</v>
      </c>
      <c r="B958" t="s">
        <v>13529</v>
      </c>
      <c r="C958" t="s">
        <v>74</v>
      </c>
      <c r="D958" t="s">
        <v>74</v>
      </c>
      <c r="E958" t="s">
        <v>8869</v>
      </c>
      <c r="F958" t="s">
        <v>13529</v>
      </c>
      <c r="G958" t="s">
        <v>74</v>
      </c>
      <c r="H958" t="s">
        <v>74</v>
      </c>
      <c r="I958" t="s">
        <v>13530</v>
      </c>
      <c r="J958" t="s">
        <v>13531</v>
      </c>
      <c r="K958" t="s">
        <v>13532</v>
      </c>
      <c r="L958" t="s">
        <v>74</v>
      </c>
      <c r="M958" t="s">
        <v>77</v>
      </c>
      <c r="N958" t="s">
        <v>8873</v>
      </c>
      <c r="O958" t="s">
        <v>13533</v>
      </c>
      <c r="P958" t="s">
        <v>13534</v>
      </c>
      <c r="Q958" t="s">
        <v>13535</v>
      </c>
      <c r="R958" t="s">
        <v>74</v>
      </c>
      <c r="S958" t="s">
        <v>74</v>
      </c>
      <c r="T958" t="s">
        <v>74</v>
      </c>
      <c r="U958" t="s">
        <v>13536</v>
      </c>
      <c r="V958" t="s">
        <v>13537</v>
      </c>
      <c r="W958" t="s">
        <v>13538</v>
      </c>
      <c r="X958" t="s">
        <v>13539</v>
      </c>
      <c r="Y958" t="s">
        <v>13540</v>
      </c>
      <c r="Z958" t="s">
        <v>13541</v>
      </c>
      <c r="AA958" t="s">
        <v>74</v>
      </c>
      <c r="AB958" t="s">
        <v>74</v>
      </c>
      <c r="AC958" t="s">
        <v>74</v>
      </c>
      <c r="AD958" t="s">
        <v>74</v>
      </c>
      <c r="AE958" t="s">
        <v>74</v>
      </c>
      <c r="AF958" t="s">
        <v>74</v>
      </c>
      <c r="AG958">
        <v>12</v>
      </c>
      <c r="AH958">
        <v>1</v>
      </c>
      <c r="AI958">
        <v>1</v>
      </c>
      <c r="AJ958">
        <v>0</v>
      </c>
      <c r="AK958">
        <v>8</v>
      </c>
      <c r="AL958" t="s">
        <v>8869</v>
      </c>
      <c r="AM958" t="s">
        <v>134</v>
      </c>
      <c r="AN958" t="s">
        <v>8884</v>
      </c>
      <c r="AO958" t="s">
        <v>13542</v>
      </c>
      <c r="AP958" t="s">
        <v>74</v>
      </c>
      <c r="AQ958" t="s">
        <v>13543</v>
      </c>
      <c r="AR958" t="s">
        <v>13544</v>
      </c>
      <c r="AS958" t="s">
        <v>74</v>
      </c>
      <c r="AT958" t="s">
        <v>74</v>
      </c>
      <c r="AU958">
        <v>2005</v>
      </c>
      <c r="AV958" t="s">
        <v>74</v>
      </c>
      <c r="AW958" t="s">
        <v>74</v>
      </c>
      <c r="AX958" t="s">
        <v>74</v>
      </c>
      <c r="AY958" t="s">
        <v>74</v>
      </c>
      <c r="AZ958" t="s">
        <v>74</v>
      </c>
      <c r="BA958" t="s">
        <v>74</v>
      </c>
      <c r="BB958">
        <v>36</v>
      </c>
      <c r="BC958">
        <v>40</v>
      </c>
      <c r="BD958" t="s">
        <v>74</v>
      </c>
      <c r="BE958" t="s">
        <v>13545</v>
      </c>
      <c r="BF958" t="str">
        <f>HYPERLINK("http://dx.doi.org/10.1109/CCM.2005.1506330","http://dx.doi.org/10.1109/CCM.2005.1506330")</f>
        <v>http://dx.doi.org/10.1109/CCM.2005.1506330</v>
      </c>
      <c r="BG958" t="s">
        <v>74</v>
      </c>
      <c r="BH958" t="s">
        <v>74</v>
      </c>
      <c r="BI958">
        <v>5</v>
      </c>
      <c r="BJ958" t="s">
        <v>13546</v>
      </c>
      <c r="BK958" t="s">
        <v>8890</v>
      </c>
      <c r="BL958" t="s">
        <v>13546</v>
      </c>
      <c r="BM958" t="s">
        <v>13547</v>
      </c>
      <c r="BN958" t="s">
        <v>74</v>
      </c>
      <c r="BO958" t="s">
        <v>74</v>
      </c>
      <c r="BP958" t="s">
        <v>74</v>
      </c>
      <c r="BQ958" t="s">
        <v>74</v>
      </c>
      <c r="BR958" t="s">
        <v>97</v>
      </c>
      <c r="BS958" t="s">
        <v>13548</v>
      </c>
      <c r="BT958" t="str">
        <f>HYPERLINK("https%3A%2F%2Fwww.webofscience.com%2Fwos%2Fwoscc%2Ffull-record%2FWOS:000231050900007","View Full Record in Web of Science")</f>
        <v>View Full Record in Web of Science</v>
      </c>
    </row>
    <row r="959" spans="1:72" x14ac:dyDescent="0.15">
      <c r="A959" t="s">
        <v>72</v>
      </c>
      <c r="B959" t="s">
        <v>13549</v>
      </c>
      <c r="C959" t="s">
        <v>74</v>
      </c>
      <c r="D959" t="s">
        <v>74</v>
      </c>
      <c r="E959" t="s">
        <v>74</v>
      </c>
      <c r="F959" t="s">
        <v>13549</v>
      </c>
      <c r="G959" t="s">
        <v>74</v>
      </c>
      <c r="H959" t="s">
        <v>74</v>
      </c>
      <c r="I959" t="s">
        <v>13550</v>
      </c>
      <c r="J959" t="s">
        <v>13551</v>
      </c>
      <c r="K959" t="s">
        <v>74</v>
      </c>
      <c r="L959" t="s">
        <v>74</v>
      </c>
      <c r="M959" t="s">
        <v>77</v>
      </c>
      <c r="N959" t="s">
        <v>365</v>
      </c>
      <c r="O959" t="s">
        <v>74</v>
      </c>
      <c r="P959" t="s">
        <v>74</v>
      </c>
      <c r="Q959" t="s">
        <v>74</v>
      </c>
      <c r="R959" t="s">
        <v>74</v>
      </c>
      <c r="S959" t="s">
        <v>74</v>
      </c>
      <c r="T959" t="s">
        <v>13552</v>
      </c>
      <c r="U959" t="s">
        <v>13553</v>
      </c>
      <c r="V959" t="s">
        <v>13554</v>
      </c>
      <c r="W959" t="s">
        <v>13555</v>
      </c>
      <c r="X959" t="s">
        <v>1769</v>
      </c>
      <c r="Y959" t="s">
        <v>13556</v>
      </c>
      <c r="Z959" t="s">
        <v>13557</v>
      </c>
      <c r="AA959" t="s">
        <v>74</v>
      </c>
      <c r="AB959" t="s">
        <v>74</v>
      </c>
      <c r="AC959" t="s">
        <v>74</v>
      </c>
      <c r="AD959" t="s">
        <v>74</v>
      </c>
      <c r="AE959" t="s">
        <v>74</v>
      </c>
      <c r="AF959" t="s">
        <v>74</v>
      </c>
      <c r="AG959">
        <v>85</v>
      </c>
      <c r="AH959">
        <v>10</v>
      </c>
      <c r="AI959">
        <v>10</v>
      </c>
      <c r="AJ959">
        <v>0</v>
      </c>
      <c r="AK959">
        <v>8</v>
      </c>
      <c r="AL959" t="s">
        <v>255</v>
      </c>
      <c r="AM959" t="s">
        <v>256</v>
      </c>
      <c r="AN959" t="s">
        <v>257</v>
      </c>
      <c r="AO959" t="s">
        <v>13558</v>
      </c>
      <c r="AP959" t="s">
        <v>74</v>
      </c>
      <c r="AQ959" t="s">
        <v>74</v>
      </c>
      <c r="AR959" t="s">
        <v>13559</v>
      </c>
      <c r="AS959" t="s">
        <v>13560</v>
      </c>
      <c r="AT959" t="s">
        <v>74</v>
      </c>
      <c r="AU959">
        <v>2005</v>
      </c>
      <c r="AV959">
        <v>67</v>
      </c>
      <c r="AW959" t="s">
        <v>442</v>
      </c>
      <c r="AX959" t="s">
        <v>74</v>
      </c>
      <c r="AY959" t="s">
        <v>74</v>
      </c>
      <c r="AZ959" t="s">
        <v>74</v>
      </c>
      <c r="BA959" t="s">
        <v>74</v>
      </c>
      <c r="BB959">
        <v>186</v>
      </c>
      <c r="BC959">
        <v>244</v>
      </c>
      <c r="BD959" t="s">
        <v>74</v>
      </c>
      <c r="BE959" t="s">
        <v>13561</v>
      </c>
      <c r="BF959" t="str">
        <f>HYPERLINK("http://dx.doi.org/10.1016/j.pocean.2004.12.001","http://dx.doi.org/10.1016/j.pocean.2004.12.001")</f>
        <v>http://dx.doi.org/10.1016/j.pocean.2004.12.001</v>
      </c>
      <c r="BG959" t="s">
        <v>74</v>
      </c>
      <c r="BH959" t="s">
        <v>74</v>
      </c>
      <c r="BI959">
        <v>59</v>
      </c>
      <c r="BJ959" t="s">
        <v>632</v>
      </c>
      <c r="BK959" t="s">
        <v>95</v>
      </c>
      <c r="BL959" t="s">
        <v>632</v>
      </c>
      <c r="BM959" t="s">
        <v>13562</v>
      </c>
      <c r="BN959" t="s">
        <v>74</v>
      </c>
      <c r="BO959" t="s">
        <v>74</v>
      </c>
      <c r="BP959" t="s">
        <v>74</v>
      </c>
      <c r="BQ959" t="s">
        <v>74</v>
      </c>
      <c r="BR959" t="s">
        <v>97</v>
      </c>
      <c r="BS959" t="s">
        <v>13563</v>
      </c>
      <c r="BT959" t="str">
        <f>HYPERLINK("https%3A%2F%2Fwww.webofscience.com%2Fwos%2Fwoscc%2Ffull-record%2FWOS:000235701700006","View Full Record in Web of Science")</f>
        <v>View Full Record in Web of Science</v>
      </c>
    </row>
    <row r="960" spans="1:72" x14ac:dyDescent="0.15">
      <c r="A960" t="s">
        <v>72</v>
      </c>
      <c r="B960" t="s">
        <v>13564</v>
      </c>
      <c r="C960" t="s">
        <v>74</v>
      </c>
      <c r="D960" t="s">
        <v>74</v>
      </c>
      <c r="E960" t="s">
        <v>74</v>
      </c>
      <c r="F960" t="s">
        <v>13564</v>
      </c>
      <c r="G960" t="s">
        <v>74</v>
      </c>
      <c r="H960" t="s">
        <v>74</v>
      </c>
      <c r="I960" t="s">
        <v>13565</v>
      </c>
      <c r="J960" t="s">
        <v>13551</v>
      </c>
      <c r="K960" t="s">
        <v>74</v>
      </c>
      <c r="L960" t="s">
        <v>74</v>
      </c>
      <c r="M960" t="s">
        <v>77</v>
      </c>
      <c r="N960" t="s">
        <v>365</v>
      </c>
      <c r="O960" t="s">
        <v>74</v>
      </c>
      <c r="P960" t="s">
        <v>74</v>
      </c>
      <c r="Q960" t="s">
        <v>74</v>
      </c>
      <c r="R960" t="s">
        <v>74</v>
      </c>
      <c r="S960" t="s">
        <v>74</v>
      </c>
      <c r="T960" t="s">
        <v>13566</v>
      </c>
      <c r="U960" t="s">
        <v>13567</v>
      </c>
      <c r="V960" t="s">
        <v>13568</v>
      </c>
      <c r="W960" t="s">
        <v>13569</v>
      </c>
      <c r="X960" t="s">
        <v>13570</v>
      </c>
      <c r="Y960" t="s">
        <v>13571</v>
      </c>
      <c r="Z960" t="s">
        <v>13572</v>
      </c>
      <c r="AA960" t="s">
        <v>13573</v>
      </c>
      <c r="AB960" t="s">
        <v>13574</v>
      </c>
      <c r="AC960" t="s">
        <v>74</v>
      </c>
      <c r="AD960" t="s">
        <v>74</v>
      </c>
      <c r="AE960" t="s">
        <v>74</v>
      </c>
      <c r="AF960" t="s">
        <v>74</v>
      </c>
      <c r="AG960">
        <v>51</v>
      </c>
      <c r="AH960">
        <v>47</v>
      </c>
      <c r="AI960">
        <v>54</v>
      </c>
      <c r="AJ960">
        <v>3</v>
      </c>
      <c r="AK960">
        <v>21</v>
      </c>
      <c r="AL960" t="s">
        <v>255</v>
      </c>
      <c r="AM960" t="s">
        <v>256</v>
      </c>
      <c r="AN960" t="s">
        <v>257</v>
      </c>
      <c r="AO960" t="s">
        <v>13558</v>
      </c>
      <c r="AP960" t="s">
        <v>13575</v>
      </c>
      <c r="AQ960" t="s">
        <v>74</v>
      </c>
      <c r="AR960" t="s">
        <v>13559</v>
      </c>
      <c r="AS960" t="s">
        <v>13560</v>
      </c>
      <c r="AT960" t="s">
        <v>74</v>
      </c>
      <c r="AU960">
        <v>2005</v>
      </c>
      <c r="AV960">
        <v>67</v>
      </c>
      <c r="AW960" t="s">
        <v>442</v>
      </c>
      <c r="AX960" t="s">
        <v>74</v>
      </c>
      <c r="AY960" t="s">
        <v>74</v>
      </c>
      <c r="AZ960" t="s">
        <v>74</v>
      </c>
      <c r="BA960" t="s">
        <v>74</v>
      </c>
      <c r="BB960">
        <v>245</v>
      </c>
      <c r="BC960">
        <v>281</v>
      </c>
      <c r="BD960" t="s">
        <v>74</v>
      </c>
      <c r="BE960" t="s">
        <v>13576</v>
      </c>
      <c r="BF960" t="str">
        <f>HYPERLINK("http://dx.doi.org/10.1016/j.pocean.2005.05.003","http://dx.doi.org/10.1016/j.pocean.2005.05.003")</f>
        <v>http://dx.doi.org/10.1016/j.pocean.2005.05.003</v>
      </c>
      <c r="BG960" t="s">
        <v>74</v>
      </c>
      <c r="BH960" t="s">
        <v>74</v>
      </c>
      <c r="BI960">
        <v>37</v>
      </c>
      <c r="BJ960" t="s">
        <v>632</v>
      </c>
      <c r="BK960" t="s">
        <v>95</v>
      </c>
      <c r="BL960" t="s">
        <v>632</v>
      </c>
      <c r="BM960" t="s">
        <v>13562</v>
      </c>
      <c r="BN960" t="s">
        <v>74</v>
      </c>
      <c r="BO960" t="s">
        <v>74</v>
      </c>
      <c r="BP960" t="s">
        <v>74</v>
      </c>
      <c r="BQ960" t="s">
        <v>74</v>
      </c>
      <c r="BR960" t="s">
        <v>97</v>
      </c>
      <c r="BS960" t="s">
        <v>13577</v>
      </c>
      <c r="BT960" t="str">
        <f>HYPERLINK("https%3A%2F%2Fwww.webofscience.com%2Fwos%2Fwoscc%2Ffull-record%2FWOS:000235701700007","View Full Record in Web of Science")</f>
        <v>View Full Record in Web of Science</v>
      </c>
    </row>
    <row r="961" spans="1:72" x14ac:dyDescent="0.15">
      <c r="A961" t="s">
        <v>72</v>
      </c>
      <c r="B961" t="s">
        <v>13578</v>
      </c>
      <c r="C961" t="s">
        <v>74</v>
      </c>
      <c r="D961" t="s">
        <v>74</v>
      </c>
      <c r="E961" t="s">
        <v>74</v>
      </c>
      <c r="F961" t="s">
        <v>13578</v>
      </c>
      <c r="G961" t="s">
        <v>74</v>
      </c>
      <c r="H961" t="s">
        <v>74</v>
      </c>
      <c r="I961" t="s">
        <v>13579</v>
      </c>
      <c r="J961" t="s">
        <v>13551</v>
      </c>
      <c r="K961" t="s">
        <v>74</v>
      </c>
      <c r="L961" t="s">
        <v>74</v>
      </c>
      <c r="M961" t="s">
        <v>77</v>
      </c>
      <c r="N961" t="s">
        <v>365</v>
      </c>
      <c r="O961" t="s">
        <v>74</v>
      </c>
      <c r="P961" t="s">
        <v>74</v>
      </c>
      <c r="Q961" t="s">
        <v>74</v>
      </c>
      <c r="R961" t="s">
        <v>74</v>
      </c>
      <c r="S961" t="s">
        <v>74</v>
      </c>
      <c r="T961" t="s">
        <v>13580</v>
      </c>
      <c r="U961" t="s">
        <v>13581</v>
      </c>
      <c r="V961" t="s">
        <v>13582</v>
      </c>
      <c r="W961" t="s">
        <v>13583</v>
      </c>
      <c r="X961" t="s">
        <v>13584</v>
      </c>
      <c r="Y961" t="s">
        <v>13585</v>
      </c>
      <c r="Z961" t="s">
        <v>13586</v>
      </c>
      <c r="AA961" t="s">
        <v>13587</v>
      </c>
      <c r="AB961" t="s">
        <v>13588</v>
      </c>
      <c r="AC961" t="s">
        <v>74</v>
      </c>
      <c r="AD961" t="s">
        <v>74</v>
      </c>
      <c r="AE961" t="s">
        <v>74</v>
      </c>
      <c r="AF961" t="s">
        <v>74</v>
      </c>
      <c r="AG961">
        <v>201</v>
      </c>
      <c r="AH961">
        <v>132</v>
      </c>
      <c r="AI961">
        <v>142</v>
      </c>
      <c r="AJ961">
        <v>1</v>
      </c>
      <c r="AK961">
        <v>80</v>
      </c>
      <c r="AL961" t="s">
        <v>255</v>
      </c>
      <c r="AM961" t="s">
        <v>256</v>
      </c>
      <c r="AN961" t="s">
        <v>257</v>
      </c>
      <c r="AO961" t="s">
        <v>13558</v>
      </c>
      <c r="AP961" t="s">
        <v>74</v>
      </c>
      <c r="AQ961" t="s">
        <v>74</v>
      </c>
      <c r="AR961" t="s">
        <v>13559</v>
      </c>
      <c r="AS961" t="s">
        <v>13560</v>
      </c>
      <c r="AT961" t="s">
        <v>74</v>
      </c>
      <c r="AU961">
        <v>2005</v>
      </c>
      <c r="AV961">
        <v>65</v>
      </c>
      <c r="AW961">
        <v>1</v>
      </c>
      <c r="AX961" t="s">
        <v>74</v>
      </c>
      <c r="AY961" t="s">
        <v>74</v>
      </c>
      <c r="AZ961" t="s">
        <v>74</v>
      </c>
      <c r="BA961" t="s">
        <v>74</v>
      </c>
      <c r="BB961">
        <v>1</v>
      </c>
      <c r="BC961">
        <v>53</v>
      </c>
      <c r="BD961" t="s">
        <v>74</v>
      </c>
      <c r="BE961" t="s">
        <v>13589</v>
      </c>
      <c r="BF961" t="str">
        <f>HYPERLINK("http://dx.doi.org/10.1016/j.pocean.2005.02.002","http://dx.doi.org/10.1016/j.pocean.2005.02.002")</f>
        <v>http://dx.doi.org/10.1016/j.pocean.2005.02.002</v>
      </c>
      <c r="BG961" t="s">
        <v>74</v>
      </c>
      <c r="BH961" t="s">
        <v>74</v>
      </c>
      <c r="BI961">
        <v>53</v>
      </c>
      <c r="BJ961" t="s">
        <v>632</v>
      </c>
      <c r="BK961" t="s">
        <v>95</v>
      </c>
      <c r="BL961" t="s">
        <v>632</v>
      </c>
      <c r="BM961" t="s">
        <v>13590</v>
      </c>
      <c r="BN961" t="s">
        <v>74</v>
      </c>
      <c r="BO961" t="s">
        <v>74</v>
      </c>
      <c r="BP961" t="s">
        <v>74</v>
      </c>
      <c r="BQ961" t="s">
        <v>74</v>
      </c>
      <c r="BR961" t="s">
        <v>97</v>
      </c>
      <c r="BS961" t="s">
        <v>13591</v>
      </c>
      <c r="BT961" t="str">
        <f>HYPERLINK("https%3A%2F%2Fwww.webofscience.com%2Fwos%2Fwoscc%2Ffull-record%2FWOS:000229847800001","View Full Record in Web of Science")</f>
        <v>View Full Record in Web of Science</v>
      </c>
    </row>
    <row r="962" spans="1:72" x14ac:dyDescent="0.15">
      <c r="A962" t="s">
        <v>72</v>
      </c>
      <c r="B962" t="s">
        <v>13592</v>
      </c>
      <c r="C962" t="s">
        <v>74</v>
      </c>
      <c r="D962" t="s">
        <v>74</v>
      </c>
      <c r="E962" t="s">
        <v>74</v>
      </c>
      <c r="F962" t="s">
        <v>13592</v>
      </c>
      <c r="G962" t="s">
        <v>74</v>
      </c>
      <c r="H962" t="s">
        <v>74</v>
      </c>
      <c r="I962" t="s">
        <v>13593</v>
      </c>
      <c r="J962" t="s">
        <v>13551</v>
      </c>
      <c r="K962" t="s">
        <v>74</v>
      </c>
      <c r="L962" t="s">
        <v>74</v>
      </c>
      <c r="M962" t="s">
        <v>77</v>
      </c>
      <c r="N962" t="s">
        <v>365</v>
      </c>
      <c r="O962" t="s">
        <v>74</v>
      </c>
      <c r="P962" t="s">
        <v>74</v>
      </c>
      <c r="Q962" t="s">
        <v>74</v>
      </c>
      <c r="R962" t="s">
        <v>74</v>
      </c>
      <c r="S962" t="s">
        <v>74</v>
      </c>
      <c r="T962" t="s">
        <v>13594</v>
      </c>
      <c r="U962" t="s">
        <v>13595</v>
      </c>
      <c r="V962" t="s">
        <v>13596</v>
      </c>
      <c r="W962" t="s">
        <v>13597</v>
      </c>
      <c r="X962" t="s">
        <v>13598</v>
      </c>
      <c r="Y962" t="s">
        <v>13599</v>
      </c>
      <c r="Z962" t="s">
        <v>13600</v>
      </c>
      <c r="AA962" t="s">
        <v>13601</v>
      </c>
      <c r="AB962" t="s">
        <v>13602</v>
      </c>
      <c r="AC962" t="s">
        <v>74</v>
      </c>
      <c r="AD962" t="s">
        <v>74</v>
      </c>
      <c r="AE962" t="s">
        <v>74</v>
      </c>
      <c r="AF962" t="s">
        <v>74</v>
      </c>
      <c r="AG962">
        <v>51</v>
      </c>
      <c r="AH962">
        <v>21</v>
      </c>
      <c r="AI962">
        <v>22</v>
      </c>
      <c r="AJ962">
        <v>0</v>
      </c>
      <c r="AK962">
        <v>20</v>
      </c>
      <c r="AL962" t="s">
        <v>255</v>
      </c>
      <c r="AM962" t="s">
        <v>256</v>
      </c>
      <c r="AN962" t="s">
        <v>257</v>
      </c>
      <c r="AO962" t="s">
        <v>13558</v>
      </c>
      <c r="AP962" t="s">
        <v>74</v>
      </c>
      <c r="AQ962" t="s">
        <v>74</v>
      </c>
      <c r="AR962" t="s">
        <v>13559</v>
      </c>
      <c r="AS962" t="s">
        <v>13560</v>
      </c>
      <c r="AT962" t="s">
        <v>74</v>
      </c>
      <c r="AU962">
        <v>2005</v>
      </c>
      <c r="AV962">
        <v>64</v>
      </c>
      <c r="AW962" t="s">
        <v>5194</v>
      </c>
      <c r="AX962" t="s">
        <v>74</v>
      </c>
      <c r="AY962" t="s">
        <v>74</v>
      </c>
      <c r="AZ962" t="s">
        <v>74</v>
      </c>
      <c r="BA962" t="s">
        <v>74</v>
      </c>
      <c r="BB962">
        <v>207</v>
      </c>
      <c r="BC962">
        <v>221</v>
      </c>
      <c r="BD962" t="s">
        <v>74</v>
      </c>
      <c r="BE962" t="s">
        <v>13603</v>
      </c>
      <c r="BF962" t="str">
        <f>HYPERLINK("http://dx.doi.org/10.1016/j.pocean.2005.02.009","http://dx.doi.org/10.1016/j.pocean.2005.02.009")</f>
        <v>http://dx.doi.org/10.1016/j.pocean.2005.02.009</v>
      </c>
      <c r="BG962" t="s">
        <v>74</v>
      </c>
      <c r="BH962" t="s">
        <v>74</v>
      </c>
      <c r="BI962">
        <v>15</v>
      </c>
      <c r="BJ962" t="s">
        <v>632</v>
      </c>
      <c r="BK962" t="s">
        <v>95</v>
      </c>
      <c r="BL962" t="s">
        <v>632</v>
      </c>
      <c r="BM962" t="s">
        <v>13604</v>
      </c>
      <c r="BN962" t="s">
        <v>74</v>
      </c>
      <c r="BO962" t="s">
        <v>74</v>
      </c>
      <c r="BP962" t="s">
        <v>74</v>
      </c>
      <c r="BQ962" t="s">
        <v>74</v>
      </c>
      <c r="BR962" t="s">
        <v>97</v>
      </c>
      <c r="BS962" t="s">
        <v>13605</v>
      </c>
      <c r="BT962" t="str">
        <f>HYPERLINK("https%3A%2F%2Fwww.webofscience.com%2Fwos%2Fwoscc%2Ffull-record%2FWOS:000229562400008","View Full Record in Web of Science")</f>
        <v>View Full Record in Web of Science</v>
      </c>
    </row>
    <row r="963" spans="1:72" x14ac:dyDescent="0.15">
      <c r="A963" t="s">
        <v>72</v>
      </c>
      <c r="B963" t="s">
        <v>13606</v>
      </c>
      <c r="C963" t="s">
        <v>74</v>
      </c>
      <c r="D963" t="s">
        <v>74</v>
      </c>
      <c r="E963" t="s">
        <v>74</v>
      </c>
      <c r="F963" t="s">
        <v>13606</v>
      </c>
      <c r="G963" t="s">
        <v>74</v>
      </c>
      <c r="H963" t="s">
        <v>74</v>
      </c>
      <c r="I963" t="s">
        <v>13607</v>
      </c>
      <c r="J963" t="s">
        <v>13608</v>
      </c>
      <c r="K963" t="s">
        <v>74</v>
      </c>
      <c r="L963" t="s">
        <v>74</v>
      </c>
      <c r="M963" t="s">
        <v>77</v>
      </c>
      <c r="N963" t="s">
        <v>78</v>
      </c>
      <c r="O963" t="s">
        <v>74</v>
      </c>
      <c r="P963" t="s">
        <v>74</v>
      </c>
      <c r="Q963" t="s">
        <v>74</v>
      </c>
      <c r="R963" t="s">
        <v>74</v>
      </c>
      <c r="S963" t="s">
        <v>74</v>
      </c>
      <c r="T963" t="s">
        <v>13609</v>
      </c>
      <c r="U963" t="s">
        <v>13610</v>
      </c>
      <c r="V963" t="s">
        <v>13611</v>
      </c>
      <c r="W963" t="s">
        <v>13612</v>
      </c>
      <c r="X963" t="s">
        <v>13613</v>
      </c>
      <c r="Y963" t="s">
        <v>13614</v>
      </c>
      <c r="Z963" t="s">
        <v>13615</v>
      </c>
      <c r="AA963" t="s">
        <v>13616</v>
      </c>
      <c r="AB963" t="s">
        <v>13617</v>
      </c>
      <c r="AC963" t="s">
        <v>74</v>
      </c>
      <c r="AD963" t="s">
        <v>74</v>
      </c>
      <c r="AE963" t="s">
        <v>74</v>
      </c>
      <c r="AF963" t="s">
        <v>74</v>
      </c>
      <c r="AG963">
        <v>21</v>
      </c>
      <c r="AH963">
        <v>69</v>
      </c>
      <c r="AI963">
        <v>80</v>
      </c>
      <c r="AJ963">
        <v>2</v>
      </c>
      <c r="AK963">
        <v>25</v>
      </c>
      <c r="AL963" t="s">
        <v>1649</v>
      </c>
      <c r="AM963" t="s">
        <v>1650</v>
      </c>
      <c r="AN963" t="s">
        <v>1651</v>
      </c>
      <c r="AO963" t="s">
        <v>13618</v>
      </c>
      <c r="AP963" t="s">
        <v>13619</v>
      </c>
      <c r="AQ963" t="s">
        <v>74</v>
      </c>
      <c r="AR963" t="s">
        <v>13620</v>
      </c>
      <c r="AS963" t="s">
        <v>13621</v>
      </c>
      <c r="AT963" t="s">
        <v>9676</v>
      </c>
      <c r="AU963">
        <v>2005</v>
      </c>
      <c r="AV963">
        <v>39</v>
      </c>
      <c r="AW963">
        <v>1</v>
      </c>
      <c r="AX963" t="s">
        <v>74</v>
      </c>
      <c r="AY963" t="s">
        <v>74</v>
      </c>
      <c r="AZ963" t="s">
        <v>74</v>
      </c>
      <c r="BA963" t="s">
        <v>74</v>
      </c>
      <c r="BB963">
        <v>27</v>
      </c>
      <c r="BC963">
        <v>34</v>
      </c>
      <c r="BD963" t="s">
        <v>74</v>
      </c>
      <c r="BE963" t="s">
        <v>13622</v>
      </c>
      <c r="BF963" t="str">
        <f>HYPERLINK("http://dx.doi.org/10.1016/j.pep.2004.09.002","http://dx.doi.org/10.1016/j.pep.2004.09.002")</f>
        <v>http://dx.doi.org/10.1016/j.pep.2004.09.002</v>
      </c>
      <c r="BG963" t="s">
        <v>74</v>
      </c>
      <c r="BH963" t="s">
        <v>74</v>
      </c>
      <c r="BI963">
        <v>8</v>
      </c>
      <c r="BJ963" t="s">
        <v>13623</v>
      </c>
      <c r="BK963" t="s">
        <v>95</v>
      </c>
      <c r="BL963" t="s">
        <v>3160</v>
      </c>
      <c r="BM963" t="s">
        <v>13624</v>
      </c>
      <c r="BN963">
        <v>15596357</v>
      </c>
      <c r="BO963" t="s">
        <v>74</v>
      </c>
      <c r="BP963" t="s">
        <v>74</v>
      </c>
      <c r="BQ963" t="s">
        <v>74</v>
      </c>
      <c r="BR963" t="s">
        <v>97</v>
      </c>
      <c r="BS963" t="s">
        <v>13625</v>
      </c>
      <c r="BT963" t="str">
        <f>HYPERLINK("https%3A%2F%2Fwww.webofscience.com%2Fwos%2Fwoscc%2Ffull-record%2FWOS:000226153600004","View Full Record in Web of Science")</f>
        <v>View Full Record in Web of Science</v>
      </c>
    </row>
    <row r="964" spans="1:72" x14ac:dyDescent="0.15">
      <c r="A964" t="s">
        <v>72</v>
      </c>
      <c r="B964" t="s">
        <v>13626</v>
      </c>
      <c r="C964" t="s">
        <v>74</v>
      </c>
      <c r="D964" t="s">
        <v>74</v>
      </c>
      <c r="E964" t="s">
        <v>74</v>
      </c>
      <c r="F964" t="s">
        <v>13626</v>
      </c>
      <c r="G964" t="s">
        <v>74</v>
      </c>
      <c r="H964" t="s">
        <v>74</v>
      </c>
      <c r="I964" t="s">
        <v>13627</v>
      </c>
      <c r="J964" t="s">
        <v>13628</v>
      </c>
      <c r="K964" t="s">
        <v>74</v>
      </c>
      <c r="L964" t="s">
        <v>74</v>
      </c>
      <c r="M964" t="s">
        <v>77</v>
      </c>
      <c r="N964" t="s">
        <v>78</v>
      </c>
      <c r="O964" t="s">
        <v>74</v>
      </c>
      <c r="P964" t="s">
        <v>74</v>
      </c>
      <c r="Q964" t="s">
        <v>74</v>
      </c>
      <c r="R964" t="s">
        <v>74</v>
      </c>
      <c r="S964" t="s">
        <v>74</v>
      </c>
      <c r="T964" t="s">
        <v>13629</v>
      </c>
      <c r="U964" t="s">
        <v>13630</v>
      </c>
      <c r="V964" t="s">
        <v>13631</v>
      </c>
      <c r="W964" t="s">
        <v>10272</v>
      </c>
      <c r="X964" t="s">
        <v>897</v>
      </c>
      <c r="Y964" t="s">
        <v>10291</v>
      </c>
      <c r="Z964" t="s">
        <v>13632</v>
      </c>
      <c r="AA964" t="s">
        <v>74</v>
      </c>
      <c r="AB964" t="s">
        <v>74</v>
      </c>
      <c r="AC964" t="s">
        <v>74</v>
      </c>
      <c r="AD964" t="s">
        <v>74</v>
      </c>
      <c r="AE964" t="s">
        <v>74</v>
      </c>
      <c r="AF964" t="s">
        <v>74</v>
      </c>
      <c r="AG964">
        <v>29</v>
      </c>
      <c r="AH964">
        <v>23</v>
      </c>
      <c r="AI964">
        <v>26</v>
      </c>
      <c r="AJ964">
        <v>0</v>
      </c>
      <c r="AK964">
        <v>2</v>
      </c>
      <c r="AL964" t="s">
        <v>212</v>
      </c>
      <c r="AM964" t="s">
        <v>134</v>
      </c>
      <c r="AN964" t="s">
        <v>236</v>
      </c>
      <c r="AO964" t="s">
        <v>13633</v>
      </c>
      <c r="AP964" t="s">
        <v>13634</v>
      </c>
      <c r="AQ964" t="s">
        <v>74</v>
      </c>
      <c r="AR964" t="s">
        <v>13635</v>
      </c>
      <c r="AS964" t="s">
        <v>13636</v>
      </c>
      <c r="AT964" t="s">
        <v>74</v>
      </c>
      <c r="AU964">
        <v>2005</v>
      </c>
      <c r="AV964">
        <v>22</v>
      </c>
      <c r="AW964">
        <v>2</v>
      </c>
      <c r="AX964" t="s">
        <v>74</v>
      </c>
      <c r="AY964" t="s">
        <v>74</v>
      </c>
      <c r="AZ964" t="s">
        <v>74</v>
      </c>
      <c r="BA964" t="s">
        <v>74</v>
      </c>
      <c r="BB964">
        <v>91</v>
      </c>
      <c r="BC964">
        <v>104</v>
      </c>
      <c r="BD964" t="s">
        <v>74</v>
      </c>
      <c r="BE964" t="s">
        <v>13637</v>
      </c>
      <c r="BF964" t="str">
        <f>HYPERLINK("http://dx.doi.org/10.1071/AS04036","http://dx.doi.org/10.1071/AS04036")</f>
        <v>http://dx.doi.org/10.1071/AS04036</v>
      </c>
      <c r="BG964" t="s">
        <v>74</v>
      </c>
      <c r="BH964" t="s">
        <v>74</v>
      </c>
      <c r="BI964">
        <v>14</v>
      </c>
      <c r="BJ964" t="s">
        <v>853</v>
      </c>
      <c r="BK964" t="s">
        <v>95</v>
      </c>
      <c r="BL964" t="s">
        <v>853</v>
      </c>
      <c r="BM964" t="s">
        <v>13638</v>
      </c>
      <c r="BN964" t="s">
        <v>74</v>
      </c>
      <c r="BO964" t="s">
        <v>539</v>
      </c>
      <c r="BP964" t="s">
        <v>74</v>
      </c>
      <c r="BQ964" t="s">
        <v>74</v>
      </c>
      <c r="BR964" t="s">
        <v>97</v>
      </c>
      <c r="BS964" t="s">
        <v>13639</v>
      </c>
      <c r="BT964" t="str">
        <f>HYPERLINK("https%3A%2F%2Fwww.webofscience.com%2Fwos%2Fwoscc%2Ffull-record%2FWOS:000228720300002","View Full Record in Web of Science")</f>
        <v>View Full Record in Web of Science</v>
      </c>
    </row>
    <row r="965" spans="1:72" x14ac:dyDescent="0.15">
      <c r="A965" t="s">
        <v>72</v>
      </c>
      <c r="B965" t="s">
        <v>13640</v>
      </c>
      <c r="C965" t="s">
        <v>74</v>
      </c>
      <c r="D965" t="s">
        <v>74</v>
      </c>
      <c r="E965" t="s">
        <v>74</v>
      </c>
      <c r="F965" t="s">
        <v>13640</v>
      </c>
      <c r="G965" t="s">
        <v>74</v>
      </c>
      <c r="H965" t="s">
        <v>74</v>
      </c>
      <c r="I965" t="s">
        <v>13641</v>
      </c>
      <c r="J965" t="s">
        <v>13628</v>
      </c>
      <c r="K965" t="s">
        <v>74</v>
      </c>
      <c r="L965" t="s">
        <v>74</v>
      </c>
      <c r="M965" t="s">
        <v>77</v>
      </c>
      <c r="N965" t="s">
        <v>495</v>
      </c>
      <c r="O965" t="s">
        <v>13642</v>
      </c>
      <c r="P965" t="s">
        <v>13643</v>
      </c>
      <c r="Q965" t="s">
        <v>13644</v>
      </c>
      <c r="R965" t="s">
        <v>74</v>
      </c>
      <c r="S965" t="s">
        <v>13645</v>
      </c>
      <c r="T965" t="s">
        <v>13646</v>
      </c>
      <c r="U965" t="s">
        <v>13647</v>
      </c>
      <c r="V965" t="s">
        <v>13648</v>
      </c>
      <c r="W965" t="s">
        <v>13649</v>
      </c>
      <c r="X965" t="s">
        <v>13650</v>
      </c>
      <c r="Y965" t="s">
        <v>10291</v>
      </c>
      <c r="Z965" t="s">
        <v>13651</v>
      </c>
      <c r="AA965" t="s">
        <v>13652</v>
      </c>
      <c r="AB965" t="s">
        <v>13653</v>
      </c>
      <c r="AC965" t="s">
        <v>74</v>
      </c>
      <c r="AD965" t="s">
        <v>74</v>
      </c>
      <c r="AE965" t="s">
        <v>74</v>
      </c>
      <c r="AF965" t="s">
        <v>74</v>
      </c>
      <c r="AG965">
        <v>146</v>
      </c>
      <c r="AH965">
        <v>61</v>
      </c>
      <c r="AI965">
        <v>65</v>
      </c>
      <c r="AJ965">
        <v>0</v>
      </c>
      <c r="AK965">
        <v>6</v>
      </c>
      <c r="AL965" t="s">
        <v>212</v>
      </c>
      <c r="AM965" t="s">
        <v>134</v>
      </c>
      <c r="AN965" t="s">
        <v>236</v>
      </c>
      <c r="AO965" t="s">
        <v>13633</v>
      </c>
      <c r="AP965" t="s">
        <v>13634</v>
      </c>
      <c r="AQ965" t="s">
        <v>74</v>
      </c>
      <c r="AR965" t="s">
        <v>13635</v>
      </c>
      <c r="AS965" t="s">
        <v>13636</v>
      </c>
      <c r="AT965" t="s">
        <v>74</v>
      </c>
      <c r="AU965">
        <v>2005</v>
      </c>
      <c r="AV965">
        <v>22</v>
      </c>
      <c r="AW965">
        <v>3</v>
      </c>
      <c r="AX965" t="s">
        <v>74</v>
      </c>
      <c r="AY965" t="s">
        <v>74</v>
      </c>
      <c r="AZ965" t="s">
        <v>74</v>
      </c>
      <c r="BA965" t="s">
        <v>74</v>
      </c>
      <c r="BB965">
        <v>199</v>
      </c>
      <c r="BC965">
        <v>235</v>
      </c>
      <c r="BD965" t="s">
        <v>74</v>
      </c>
      <c r="BE965" t="s">
        <v>13654</v>
      </c>
      <c r="BF965" t="str">
        <f>HYPERLINK("http://dx.doi.org/10.1071/AS04077","http://dx.doi.org/10.1071/AS04077")</f>
        <v>http://dx.doi.org/10.1071/AS04077</v>
      </c>
      <c r="BG965" t="s">
        <v>74</v>
      </c>
      <c r="BH965" t="s">
        <v>74</v>
      </c>
      <c r="BI965">
        <v>37</v>
      </c>
      <c r="BJ965" t="s">
        <v>853</v>
      </c>
      <c r="BK965" t="s">
        <v>514</v>
      </c>
      <c r="BL965" t="s">
        <v>853</v>
      </c>
      <c r="BM965" t="s">
        <v>13655</v>
      </c>
      <c r="BN965" t="s">
        <v>74</v>
      </c>
      <c r="BO965" t="s">
        <v>3093</v>
      </c>
      <c r="BP965" t="s">
        <v>74</v>
      </c>
      <c r="BQ965" t="s">
        <v>74</v>
      </c>
      <c r="BR965" t="s">
        <v>97</v>
      </c>
      <c r="BS965" t="s">
        <v>13656</v>
      </c>
      <c r="BT965" t="str">
        <f>HYPERLINK("https%3A%2F%2Fwww.webofscience.com%2Fwos%2Fwoscc%2Ffull-record%2FWOS:000231524400007","View Full Record in Web of Science")</f>
        <v>View Full Record in Web of Science</v>
      </c>
    </row>
    <row r="966" spans="1:72" x14ac:dyDescent="0.15">
      <c r="A966" t="s">
        <v>72</v>
      </c>
      <c r="B966" t="s">
        <v>13657</v>
      </c>
      <c r="C966" t="s">
        <v>74</v>
      </c>
      <c r="D966" t="s">
        <v>74</v>
      </c>
      <c r="E966" t="s">
        <v>74</v>
      </c>
      <c r="F966" t="s">
        <v>13657</v>
      </c>
      <c r="G966" t="s">
        <v>74</v>
      </c>
      <c r="H966" t="s">
        <v>74</v>
      </c>
      <c r="I966" t="s">
        <v>13658</v>
      </c>
      <c r="J966" t="s">
        <v>5084</v>
      </c>
      <c r="K966" t="s">
        <v>74</v>
      </c>
      <c r="L966" t="s">
        <v>74</v>
      </c>
      <c r="M966" t="s">
        <v>77</v>
      </c>
      <c r="N966" t="s">
        <v>78</v>
      </c>
      <c r="O966" t="s">
        <v>74</v>
      </c>
      <c r="P966" t="s">
        <v>74</v>
      </c>
      <c r="Q966" t="s">
        <v>74</v>
      </c>
      <c r="R966" t="s">
        <v>74</v>
      </c>
      <c r="S966" t="s">
        <v>74</v>
      </c>
      <c r="T966" t="s">
        <v>13659</v>
      </c>
      <c r="U966" t="s">
        <v>13660</v>
      </c>
      <c r="V966" t="s">
        <v>13661</v>
      </c>
      <c r="W966" t="s">
        <v>13662</v>
      </c>
      <c r="X966" t="s">
        <v>13663</v>
      </c>
      <c r="Y966" t="s">
        <v>6505</v>
      </c>
      <c r="Z966" t="s">
        <v>13664</v>
      </c>
      <c r="AA966" t="s">
        <v>2618</v>
      </c>
      <c r="AB966" t="s">
        <v>2619</v>
      </c>
      <c r="AC966" t="s">
        <v>13665</v>
      </c>
      <c r="AD966" t="s">
        <v>2639</v>
      </c>
      <c r="AE966" t="s">
        <v>74</v>
      </c>
      <c r="AF966" t="s">
        <v>74</v>
      </c>
      <c r="AG966">
        <v>43</v>
      </c>
      <c r="AH966">
        <v>69</v>
      </c>
      <c r="AI966">
        <v>74</v>
      </c>
      <c r="AJ966">
        <v>1</v>
      </c>
      <c r="AK966">
        <v>10</v>
      </c>
      <c r="AL966" t="s">
        <v>472</v>
      </c>
      <c r="AM966" t="s">
        <v>473</v>
      </c>
      <c r="AN966" t="s">
        <v>474</v>
      </c>
      <c r="AO966" t="s">
        <v>5097</v>
      </c>
      <c r="AP966" t="s">
        <v>13666</v>
      </c>
      <c r="AQ966" t="s">
        <v>74</v>
      </c>
      <c r="AR966" t="s">
        <v>5098</v>
      </c>
      <c r="AS966" t="s">
        <v>5099</v>
      </c>
      <c r="AT966" t="s">
        <v>9676</v>
      </c>
      <c r="AU966">
        <v>2005</v>
      </c>
      <c r="AV966">
        <v>131</v>
      </c>
      <c r="AW966">
        <v>605</v>
      </c>
      <c r="AX966" t="s">
        <v>5100</v>
      </c>
      <c r="AY966" t="s">
        <v>74</v>
      </c>
      <c r="AZ966" t="s">
        <v>74</v>
      </c>
      <c r="BA966" t="s">
        <v>74</v>
      </c>
      <c r="BB966">
        <v>281</v>
      </c>
      <c r="BC966">
        <v>303</v>
      </c>
      <c r="BD966" t="s">
        <v>74</v>
      </c>
      <c r="BE966" t="s">
        <v>13667</v>
      </c>
      <c r="BF966" t="str">
        <f>HYPERLINK("http://dx.doi.org/10.1256/qj.04.05","http://dx.doi.org/10.1256/qj.04.05")</f>
        <v>http://dx.doi.org/10.1256/qj.04.05</v>
      </c>
      <c r="BG966" t="s">
        <v>74</v>
      </c>
      <c r="BH966" t="s">
        <v>74</v>
      </c>
      <c r="BI966">
        <v>23</v>
      </c>
      <c r="BJ966" t="s">
        <v>401</v>
      </c>
      <c r="BK966" t="s">
        <v>95</v>
      </c>
      <c r="BL966" t="s">
        <v>401</v>
      </c>
      <c r="BM966" t="s">
        <v>13668</v>
      </c>
      <c r="BN966" t="s">
        <v>74</v>
      </c>
      <c r="BO966" t="s">
        <v>74</v>
      </c>
      <c r="BP966" t="s">
        <v>74</v>
      </c>
      <c r="BQ966" t="s">
        <v>74</v>
      </c>
      <c r="BR966" t="s">
        <v>97</v>
      </c>
      <c r="BS966" t="s">
        <v>13669</v>
      </c>
      <c r="BT966" t="str">
        <f>HYPERLINK("https%3A%2F%2Fwww.webofscience.com%2Fwos%2Fwoscc%2Ffull-record%2FWOS:000227077400014","View Full Record in Web of Science")</f>
        <v>View Full Record in Web of Science</v>
      </c>
    </row>
    <row r="967" spans="1:72" x14ac:dyDescent="0.15">
      <c r="A967" t="s">
        <v>72</v>
      </c>
      <c r="B967" t="s">
        <v>13670</v>
      </c>
      <c r="C967" t="s">
        <v>74</v>
      </c>
      <c r="D967" t="s">
        <v>74</v>
      </c>
      <c r="E967" t="s">
        <v>74</v>
      </c>
      <c r="F967" t="s">
        <v>13670</v>
      </c>
      <c r="G967" t="s">
        <v>74</v>
      </c>
      <c r="H967" t="s">
        <v>74</v>
      </c>
      <c r="I967" t="s">
        <v>13671</v>
      </c>
      <c r="J967" t="s">
        <v>224</v>
      </c>
      <c r="K967" t="s">
        <v>74</v>
      </c>
      <c r="L967" t="s">
        <v>74</v>
      </c>
      <c r="M967" t="s">
        <v>77</v>
      </c>
      <c r="N967" t="s">
        <v>78</v>
      </c>
      <c r="O967" t="s">
        <v>74</v>
      </c>
      <c r="P967" t="s">
        <v>74</v>
      </c>
      <c r="Q967" t="s">
        <v>74</v>
      </c>
      <c r="R967" t="s">
        <v>74</v>
      </c>
      <c r="S967" t="s">
        <v>74</v>
      </c>
      <c r="T967" t="s">
        <v>13672</v>
      </c>
      <c r="U967" t="s">
        <v>13673</v>
      </c>
      <c r="V967" t="s">
        <v>13674</v>
      </c>
      <c r="W967" t="s">
        <v>13675</v>
      </c>
      <c r="X967" t="s">
        <v>13676</v>
      </c>
      <c r="Y967" t="s">
        <v>13677</v>
      </c>
      <c r="Z967" t="s">
        <v>13678</v>
      </c>
      <c r="AA967" t="s">
        <v>13679</v>
      </c>
      <c r="AB967" t="s">
        <v>74</v>
      </c>
      <c r="AC967" t="s">
        <v>9546</v>
      </c>
      <c r="AD967" t="s">
        <v>6063</v>
      </c>
      <c r="AE967" t="s">
        <v>74</v>
      </c>
      <c r="AF967" t="s">
        <v>74</v>
      </c>
      <c r="AG967">
        <v>44</v>
      </c>
      <c r="AH967">
        <v>54</v>
      </c>
      <c r="AI967">
        <v>64</v>
      </c>
      <c r="AJ967">
        <v>0</v>
      </c>
      <c r="AK967">
        <v>8</v>
      </c>
      <c r="AL967" t="s">
        <v>212</v>
      </c>
      <c r="AM967" t="s">
        <v>134</v>
      </c>
      <c r="AN967" t="s">
        <v>236</v>
      </c>
      <c r="AO967" t="s">
        <v>237</v>
      </c>
      <c r="AP967" t="s">
        <v>238</v>
      </c>
      <c r="AQ967" t="s">
        <v>74</v>
      </c>
      <c r="AR967" t="s">
        <v>239</v>
      </c>
      <c r="AS967" t="s">
        <v>240</v>
      </c>
      <c r="AT967" t="s">
        <v>9676</v>
      </c>
      <c r="AU967">
        <v>2005</v>
      </c>
      <c r="AV967">
        <v>63</v>
      </c>
      <c r="AW967">
        <v>1</v>
      </c>
      <c r="AX967" t="s">
        <v>74</v>
      </c>
      <c r="AY967" t="s">
        <v>74</v>
      </c>
      <c r="AZ967" t="s">
        <v>74</v>
      </c>
      <c r="BA967" t="s">
        <v>74</v>
      </c>
      <c r="BB967">
        <v>45</v>
      </c>
      <c r="BC967">
        <v>52</v>
      </c>
      <c r="BD967" t="s">
        <v>74</v>
      </c>
      <c r="BE967" t="s">
        <v>13680</v>
      </c>
      <c r="BF967" t="str">
        <f>HYPERLINK("http://dx.doi.org/10.1016/j.yqres.2004.09.005","http://dx.doi.org/10.1016/j.yqres.2004.09.005")</f>
        <v>http://dx.doi.org/10.1016/j.yqres.2004.09.005</v>
      </c>
      <c r="BG967" t="s">
        <v>74</v>
      </c>
      <c r="BH967" t="s">
        <v>74</v>
      </c>
      <c r="BI967">
        <v>8</v>
      </c>
      <c r="BJ967" t="s">
        <v>242</v>
      </c>
      <c r="BK967" t="s">
        <v>95</v>
      </c>
      <c r="BL967" t="s">
        <v>243</v>
      </c>
      <c r="BM967" t="s">
        <v>13681</v>
      </c>
      <c r="BN967" t="s">
        <v>74</v>
      </c>
      <c r="BO967" t="s">
        <v>74</v>
      </c>
      <c r="BP967" t="s">
        <v>74</v>
      </c>
      <c r="BQ967" t="s">
        <v>74</v>
      </c>
      <c r="BR967" t="s">
        <v>97</v>
      </c>
      <c r="BS967" t="s">
        <v>13682</v>
      </c>
      <c r="BT967" t="str">
        <f>HYPERLINK("https%3A%2F%2Fwww.webofscience.com%2Fwos%2Fwoscc%2Ffull-record%2FWOS:000226192200004","View Full Record in Web of Science")</f>
        <v>View Full Record in Web of Science</v>
      </c>
    </row>
    <row r="968" spans="1:72" x14ac:dyDescent="0.15">
      <c r="A968" t="s">
        <v>72</v>
      </c>
      <c r="B968" t="s">
        <v>13683</v>
      </c>
      <c r="C968" t="s">
        <v>74</v>
      </c>
      <c r="D968" t="s">
        <v>74</v>
      </c>
      <c r="E968" t="s">
        <v>74</v>
      </c>
      <c r="F968" t="s">
        <v>13683</v>
      </c>
      <c r="G968" t="s">
        <v>74</v>
      </c>
      <c r="H968" t="s">
        <v>74</v>
      </c>
      <c r="I968" t="s">
        <v>13684</v>
      </c>
      <c r="J968" t="s">
        <v>13685</v>
      </c>
      <c r="K968" t="s">
        <v>74</v>
      </c>
      <c r="L968" t="s">
        <v>74</v>
      </c>
      <c r="M968" t="s">
        <v>77</v>
      </c>
      <c r="N968" t="s">
        <v>78</v>
      </c>
      <c r="O968" t="s">
        <v>74</v>
      </c>
      <c r="P968" t="s">
        <v>74</v>
      </c>
      <c r="Q968" t="s">
        <v>74</v>
      </c>
      <c r="R968" t="s">
        <v>74</v>
      </c>
      <c r="S968" t="s">
        <v>74</v>
      </c>
      <c r="T968" t="s">
        <v>74</v>
      </c>
      <c r="U968" t="s">
        <v>13686</v>
      </c>
      <c r="V968" t="s">
        <v>13687</v>
      </c>
      <c r="W968" t="s">
        <v>13688</v>
      </c>
      <c r="X968" t="s">
        <v>13689</v>
      </c>
      <c r="Y968" t="s">
        <v>13690</v>
      </c>
      <c r="Z968" t="s">
        <v>13691</v>
      </c>
      <c r="AA968" t="s">
        <v>74</v>
      </c>
      <c r="AB968" t="s">
        <v>13692</v>
      </c>
      <c r="AC968" t="s">
        <v>74</v>
      </c>
      <c r="AD968" t="s">
        <v>74</v>
      </c>
      <c r="AE968" t="s">
        <v>74</v>
      </c>
      <c r="AF968" t="s">
        <v>74</v>
      </c>
      <c r="AG968">
        <v>18</v>
      </c>
      <c r="AH968">
        <v>7</v>
      </c>
      <c r="AI968">
        <v>8</v>
      </c>
      <c r="AJ968">
        <v>0</v>
      </c>
      <c r="AK968">
        <v>2</v>
      </c>
      <c r="AL968" t="s">
        <v>472</v>
      </c>
      <c r="AM968" t="s">
        <v>473</v>
      </c>
      <c r="AN968" t="s">
        <v>474</v>
      </c>
      <c r="AO968" t="s">
        <v>13693</v>
      </c>
      <c r="AP968" t="s">
        <v>13694</v>
      </c>
      <c r="AQ968" t="s">
        <v>74</v>
      </c>
      <c r="AR968" t="s">
        <v>13695</v>
      </c>
      <c r="AS968" t="s">
        <v>13696</v>
      </c>
      <c r="AT968" t="s">
        <v>74</v>
      </c>
      <c r="AU968">
        <v>2005</v>
      </c>
      <c r="AV968">
        <v>19</v>
      </c>
      <c r="AW968">
        <v>1</v>
      </c>
      <c r="AX968" t="s">
        <v>74</v>
      </c>
      <c r="AY968" t="s">
        <v>74</v>
      </c>
      <c r="AZ968" t="s">
        <v>74</v>
      </c>
      <c r="BA968" t="s">
        <v>74</v>
      </c>
      <c r="BB968">
        <v>38</v>
      </c>
      <c r="BC968">
        <v>46</v>
      </c>
      <c r="BD968" t="s">
        <v>74</v>
      </c>
      <c r="BE968" t="s">
        <v>13697</v>
      </c>
      <c r="BF968" t="str">
        <f>HYPERLINK("http://dx.doi.org/10.1002/rcm.1749","http://dx.doi.org/10.1002/rcm.1749")</f>
        <v>http://dx.doi.org/10.1002/rcm.1749</v>
      </c>
      <c r="BG968" t="s">
        <v>74</v>
      </c>
      <c r="BH968" t="s">
        <v>74</v>
      </c>
      <c r="BI968">
        <v>9</v>
      </c>
      <c r="BJ968" t="s">
        <v>13698</v>
      </c>
      <c r="BK968" t="s">
        <v>95</v>
      </c>
      <c r="BL968" t="s">
        <v>13699</v>
      </c>
      <c r="BM968" t="s">
        <v>13700</v>
      </c>
      <c r="BN968">
        <v>15570571</v>
      </c>
      <c r="BO968" t="s">
        <v>74</v>
      </c>
      <c r="BP968" t="s">
        <v>74</v>
      </c>
      <c r="BQ968" t="s">
        <v>74</v>
      </c>
      <c r="BR968" t="s">
        <v>97</v>
      </c>
      <c r="BS968" t="s">
        <v>13701</v>
      </c>
      <c r="BT968" t="str">
        <f>HYPERLINK("https%3A%2F%2Fwww.webofscience.com%2Fwos%2Fwoscc%2Ffull-record%2FWOS:000226238700006","View Full Record in Web of Science")</f>
        <v>View Full Record in Web of Science</v>
      </c>
    </row>
    <row r="969" spans="1:72" x14ac:dyDescent="0.15">
      <c r="A969" t="s">
        <v>72</v>
      </c>
      <c r="B969" t="s">
        <v>13702</v>
      </c>
      <c r="C969" t="s">
        <v>74</v>
      </c>
      <c r="D969" t="s">
        <v>74</v>
      </c>
      <c r="E969" t="s">
        <v>74</v>
      </c>
      <c r="F969" t="s">
        <v>13702</v>
      </c>
      <c r="G969" t="s">
        <v>74</v>
      </c>
      <c r="H969" t="s">
        <v>74</v>
      </c>
      <c r="I969" t="s">
        <v>13703</v>
      </c>
      <c r="J969" t="s">
        <v>13704</v>
      </c>
      <c r="K969" t="s">
        <v>74</v>
      </c>
      <c r="L969" t="s">
        <v>74</v>
      </c>
      <c r="M969" t="s">
        <v>77</v>
      </c>
      <c r="N969" t="s">
        <v>365</v>
      </c>
      <c r="O969" t="s">
        <v>74</v>
      </c>
      <c r="P969" t="s">
        <v>74</v>
      </c>
      <c r="Q969" t="s">
        <v>74</v>
      </c>
      <c r="R969" t="s">
        <v>74</v>
      </c>
      <c r="S969" t="s">
        <v>74</v>
      </c>
      <c r="T969" t="s">
        <v>13705</v>
      </c>
      <c r="U969" t="s">
        <v>13706</v>
      </c>
      <c r="V969" t="s">
        <v>13707</v>
      </c>
      <c r="W969" t="s">
        <v>13708</v>
      </c>
      <c r="X969" t="s">
        <v>8210</v>
      </c>
      <c r="Y969" t="s">
        <v>13709</v>
      </c>
      <c r="Z969" t="s">
        <v>13710</v>
      </c>
      <c r="AA969" t="s">
        <v>74</v>
      </c>
      <c r="AB969" t="s">
        <v>74</v>
      </c>
      <c r="AC969" t="s">
        <v>74</v>
      </c>
      <c r="AD969" t="s">
        <v>74</v>
      </c>
      <c r="AE969" t="s">
        <v>74</v>
      </c>
      <c r="AF969" t="s">
        <v>74</v>
      </c>
      <c r="AG969">
        <v>177</v>
      </c>
      <c r="AH969">
        <v>43</v>
      </c>
      <c r="AI969">
        <v>48</v>
      </c>
      <c r="AJ969">
        <v>0</v>
      </c>
      <c r="AK969">
        <v>12</v>
      </c>
      <c r="AL969" t="s">
        <v>5476</v>
      </c>
      <c r="AM969" t="s">
        <v>5477</v>
      </c>
      <c r="AN969" t="s">
        <v>5478</v>
      </c>
      <c r="AO969" t="s">
        <v>13711</v>
      </c>
      <c r="AP969" t="s">
        <v>13712</v>
      </c>
      <c r="AQ969" t="s">
        <v>74</v>
      </c>
      <c r="AR969" t="s">
        <v>13713</v>
      </c>
      <c r="AS969" t="s">
        <v>13714</v>
      </c>
      <c r="AT969" t="s">
        <v>74</v>
      </c>
      <c r="AU969">
        <v>2005</v>
      </c>
      <c r="AV969">
        <v>13</v>
      </c>
      <c r="AW969">
        <v>2</v>
      </c>
      <c r="AX969" t="s">
        <v>74</v>
      </c>
      <c r="AY969" t="s">
        <v>74</v>
      </c>
      <c r="AZ969" t="s">
        <v>74</v>
      </c>
      <c r="BA969" t="s">
        <v>74</v>
      </c>
      <c r="BB969">
        <v>75</v>
      </c>
      <c r="BC969">
        <v>108</v>
      </c>
      <c r="BD969" t="s">
        <v>74</v>
      </c>
      <c r="BE969" t="s">
        <v>13715</v>
      </c>
      <c r="BF969" t="str">
        <f>HYPERLINK("http://dx.doi.org/10.1080/10641260590953900","http://dx.doi.org/10.1080/10641260590953900")</f>
        <v>http://dx.doi.org/10.1080/10641260590953900</v>
      </c>
      <c r="BG969" t="s">
        <v>74</v>
      </c>
      <c r="BH969" t="s">
        <v>74</v>
      </c>
      <c r="BI969">
        <v>34</v>
      </c>
      <c r="BJ969" t="s">
        <v>1616</v>
      </c>
      <c r="BK969" t="s">
        <v>95</v>
      </c>
      <c r="BL969" t="s">
        <v>1616</v>
      </c>
      <c r="BM969" t="s">
        <v>13716</v>
      </c>
      <c r="BN969" t="s">
        <v>74</v>
      </c>
      <c r="BO969" t="s">
        <v>74</v>
      </c>
      <c r="BP969" t="s">
        <v>74</v>
      </c>
      <c r="BQ969" t="s">
        <v>74</v>
      </c>
      <c r="BR969" t="s">
        <v>97</v>
      </c>
      <c r="BS969" t="s">
        <v>13717</v>
      </c>
      <c r="BT969" t="str">
        <f>HYPERLINK("https%3A%2F%2Fwww.webofscience.com%2Fwos%2Fwoscc%2Ffull-record%2FWOS:000229892900001","View Full Record in Web of Science")</f>
        <v>View Full Record in Web of Science</v>
      </c>
    </row>
    <row r="970" spans="1:72" x14ac:dyDescent="0.15">
      <c r="A970" t="s">
        <v>72</v>
      </c>
      <c r="B970" t="s">
        <v>13718</v>
      </c>
      <c r="C970" t="s">
        <v>74</v>
      </c>
      <c r="D970" t="s">
        <v>74</v>
      </c>
      <c r="E970" t="s">
        <v>74</v>
      </c>
      <c r="F970" t="s">
        <v>13718</v>
      </c>
      <c r="G970" t="s">
        <v>74</v>
      </c>
      <c r="H970" t="s">
        <v>74</v>
      </c>
      <c r="I970" t="s">
        <v>13719</v>
      </c>
      <c r="J970" t="s">
        <v>13720</v>
      </c>
      <c r="K970" t="s">
        <v>74</v>
      </c>
      <c r="L970" t="s">
        <v>74</v>
      </c>
      <c r="M970" t="s">
        <v>77</v>
      </c>
      <c r="N970" t="s">
        <v>78</v>
      </c>
      <c r="O970" t="s">
        <v>74</v>
      </c>
      <c r="P970" t="s">
        <v>74</v>
      </c>
      <c r="Q970" t="s">
        <v>74</v>
      </c>
      <c r="R970" t="s">
        <v>74</v>
      </c>
      <c r="S970" t="s">
        <v>74</v>
      </c>
      <c r="T970" t="s">
        <v>13721</v>
      </c>
      <c r="U970" t="s">
        <v>74</v>
      </c>
      <c r="V970" t="s">
        <v>13722</v>
      </c>
      <c r="W970" t="s">
        <v>13723</v>
      </c>
      <c r="X970" t="s">
        <v>13724</v>
      </c>
      <c r="Y970" t="s">
        <v>13725</v>
      </c>
      <c r="Z970" t="s">
        <v>74</v>
      </c>
      <c r="AA970" t="s">
        <v>13726</v>
      </c>
      <c r="AB970" t="s">
        <v>13727</v>
      </c>
      <c r="AC970" t="s">
        <v>74</v>
      </c>
      <c r="AD970" t="s">
        <v>74</v>
      </c>
      <c r="AE970" t="s">
        <v>74</v>
      </c>
      <c r="AF970" t="s">
        <v>74</v>
      </c>
      <c r="AG970">
        <v>19</v>
      </c>
      <c r="AH970">
        <v>0</v>
      </c>
      <c r="AI970">
        <v>0</v>
      </c>
      <c r="AJ970">
        <v>0</v>
      </c>
      <c r="AK970">
        <v>3</v>
      </c>
      <c r="AL970" t="s">
        <v>13728</v>
      </c>
      <c r="AM970" t="s">
        <v>13729</v>
      </c>
      <c r="AN970" t="s">
        <v>13730</v>
      </c>
      <c r="AO970" t="s">
        <v>13731</v>
      </c>
      <c r="AP970" t="s">
        <v>13732</v>
      </c>
      <c r="AQ970" t="s">
        <v>74</v>
      </c>
      <c r="AR970" t="s">
        <v>13733</v>
      </c>
      <c r="AS970" t="s">
        <v>13734</v>
      </c>
      <c r="AT970" t="s">
        <v>74</v>
      </c>
      <c r="AU970">
        <v>2005</v>
      </c>
      <c r="AV970">
        <v>46</v>
      </c>
      <c r="AW970">
        <v>10</v>
      </c>
      <c r="AX970" t="s">
        <v>74</v>
      </c>
      <c r="AY970" t="s">
        <v>74</v>
      </c>
      <c r="AZ970" t="s">
        <v>74</v>
      </c>
      <c r="BA970" t="s">
        <v>74</v>
      </c>
      <c r="BB970">
        <v>1037</v>
      </c>
      <c r="BC970">
        <v>1052</v>
      </c>
      <c r="BD970" t="s">
        <v>74</v>
      </c>
      <c r="BE970" t="s">
        <v>74</v>
      </c>
      <c r="BF970" t="s">
        <v>74</v>
      </c>
      <c r="BG970" t="s">
        <v>74</v>
      </c>
      <c r="BH970" t="s">
        <v>74</v>
      </c>
      <c r="BI970">
        <v>16</v>
      </c>
      <c r="BJ970" t="s">
        <v>537</v>
      </c>
      <c r="BK970" t="s">
        <v>95</v>
      </c>
      <c r="BL970" t="s">
        <v>307</v>
      </c>
      <c r="BM970" t="s">
        <v>13735</v>
      </c>
      <c r="BN970" t="s">
        <v>74</v>
      </c>
      <c r="BO970" t="s">
        <v>74</v>
      </c>
      <c r="BP970" t="s">
        <v>74</v>
      </c>
      <c r="BQ970" t="s">
        <v>74</v>
      </c>
      <c r="BR970" t="s">
        <v>97</v>
      </c>
      <c r="BS970" t="s">
        <v>13736</v>
      </c>
      <c r="BT970" t="str">
        <f>HYPERLINK("https%3A%2F%2Fwww.webofscience.com%2Fwos%2Fwoscc%2Ffull-record%2FWOS:000233118700004","View Full Record in Web of Science")</f>
        <v>View Full Record in Web of Science</v>
      </c>
    </row>
    <row r="971" spans="1:72" x14ac:dyDescent="0.15">
      <c r="A971" t="s">
        <v>72</v>
      </c>
      <c r="B971" t="s">
        <v>13737</v>
      </c>
      <c r="C971" t="s">
        <v>74</v>
      </c>
      <c r="D971" t="s">
        <v>74</v>
      </c>
      <c r="E971" t="s">
        <v>74</v>
      </c>
      <c r="F971" t="s">
        <v>13737</v>
      </c>
      <c r="G971" t="s">
        <v>74</v>
      </c>
      <c r="H971" t="s">
        <v>74</v>
      </c>
      <c r="I971" t="s">
        <v>13738</v>
      </c>
      <c r="J971" t="s">
        <v>13739</v>
      </c>
      <c r="K971" t="s">
        <v>74</v>
      </c>
      <c r="L971" t="s">
        <v>74</v>
      </c>
      <c r="M971" t="s">
        <v>77</v>
      </c>
      <c r="N971" t="s">
        <v>78</v>
      </c>
      <c r="O971" t="s">
        <v>74</v>
      </c>
      <c r="P971" t="s">
        <v>74</v>
      </c>
      <c r="Q971" t="s">
        <v>74</v>
      </c>
      <c r="R971" t="s">
        <v>74</v>
      </c>
      <c r="S971" t="s">
        <v>74</v>
      </c>
      <c r="T971" t="s">
        <v>13740</v>
      </c>
      <c r="U971" t="s">
        <v>13741</v>
      </c>
      <c r="V971" t="s">
        <v>13742</v>
      </c>
      <c r="W971" t="s">
        <v>13743</v>
      </c>
      <c r="X971" t="s">
        <v>13744</v>
      </c>
      <c r="Y971" t="s">
        <v>13745</v>
      </c>
      <c r="Z971" t="s">
        <v>7777</v>
      </c>
      <c r="AA971" t="s">
        <v>13746</v>
      </c>
      <c r="AB971" t="s">
        <v>13747</v>
      </c>
      <c r="AC971" t="s">
        <v>74</v>
      </c>
      <c r="AD971" t="s">
        <v>74</v>
      </c>
      <c r="AE971" t="s">
        <v>74</v>
      </c>
      <c r="AF971" t="s">
        <v>74</v>
      </c>
      <c r="AG971">
        <v>27</v>
      </c>
      <c r="AH971">
        <v>17</v>
      </c>
      <c r="AI971">
        <v>20</v>
      </c>
      <c r="AJ971">
        <v>0</v>
      </c>
      <c r="AK971">
        <v>16</v>
      </c>
      <c r="AL971" t="s">
        <v>2841</v>
      </c>
      <c r="AM971" t="s">
        <v>2842</v>
      </c>
      <c r="AN971" t="s">
        <v>2843</v>
      </c>
      <c r="AO971" t="s">
        <v>13748</v>
      </c>
      <c r="AP971" t="s">
        <v>74</v>
      </c>
      <c r="AQ971" t="s">
        <v>74</v>
      </c>
      <c r="AR971" t="s">
        <v>13749</v>
      </c>
      <c r="AS971" t="s">
        <v>13750</v>
      </c>
      <c r="AT971" t="s">
        <v>9676</v>
      </c>
      <c r="AU971">
        <v>2005</v>
      </c>
      <c r="AV971">
        <v>48</v>
      </c>
      <c r="AW971">
        <v>1</v>
      </c>
      <c r="AX971" t="s">
        <v>74</v>
      </c>
      <c r="AY971" t="s">
        <v>74</v>
      </c>
      <c r="AZ971" t="s">
        <v>74</v>
      </c>
      <c r="BA971" t="s">
        <v>74</v>
      </c>
      <c r="BB971">
        <v>100</v>
      </c>
      <c r="BC971">
        <v>111</v>
      </c>
      <c r="BD971" t="s">
        <v>74</v>
      </c>
      <c r="BE971" t="s">
        <v>13751</v>
      </c>
      <c r="BF971" t="str">
        <f>HYPERLINK("http://dx.doi.org/10.1360/03yd0127","http://dx.doi.org/10.1360/03yd0127")</f>
        <v>http://dx.doi.org/10.1360/03yd0127</v>
      </c>
      <c r="BG971" t="s">
        <v>74</v>
      </c>
      <c r="BH971" t="s">
        <v>74</v>
      </c>
      <c r="BI971">
        <v>12</v>
      </c>
      <c r="BJ971" t="s">
        <v>537</v>
      </c>
      <c r="BK971" t="s">
        <v>95</v>
      </c>
      <c r="BL971" t="s">
        <v>307</v>
      </c>
      <c r="BM971" t="s">
        <v>13752</v>
      </c>
      <c r="BN971" t="s">
        <v>74</v>
      </c>
      <c r="BO971" t="s">
        <v>74</v>
      </c>
      <c r="BP971" t="s">
        <v>74</v>
      </c>
      <c r="BQ971" t="s">
        <v>74</v>
      </c>
      <c r="BR971" t="s">
        <v>97</v>
      </c>
      <c r="BS971" t="s">
        <v>13753</v>
      </c>
      <c r="BT971" t="str">
        <f>HYPERLINK("https%3A%2F%2Fwww.webofscience.com%2Fwos%2Fwoscc%2Ffull-record%2FWOS:000227786700012","View Full Record in Web of Science")</f>
        <v>View Full Record in Web of Science</v>
      </c>
    </row>
    <row r="972" spans="1:72" x14ac:dyDescent="0.15">
      <c r="A972" t="s">
        <v>72</v>
      </c>
      <c r="B972" t="s">
        <v>13754</v>
      </c>
      <c r="C972" t="s">
        <v>74</v>
      </c>
      <c r="D972" t="s">
        <v>74</v>
      </c>
      <c r="E972" t="s">
        <v>74</v>
      </c>
      <c r="F972" t="s">
        <v>13754</v>
      </c>
      <c r="G972" t="s">
        <v>74</v>
      </c>
      <c r="H972" t="s">
        <v>74</v>
      </c>
      <c r="I972" t="s">
        <v>13755</v>
      </c>
      <c r="J972" t="s">
        <v>13756</v>
      </c>
      <c r="K972" t="s">
        <v>74</v>
      </c>
      <c r="L972" t="s">
        <v>74</v>
      </c>
      <c r="M972" t="s">
        <v>77</v>
      </c>
      <c r="N972" t="s">
        <v>78</v>
      </c>
      <c r="O972" t="s">
        <v>74</v>
      </c>
      <c r="P972" t="s">
        <v>74</v>
      </c>
      <c r="Q972" t="s">
        <v>74</v>
      </c>
      <c r="R972" t="s">
        <v>74</v>
      </c>
      <c r="S972" t="s">
        <v>74</v>
      </c>
      <c r="T972" t="s">
        <v>13757</v>
      </c>
      <c r="U972" t="s">
        <v>13758</v>
      </c>
      <c r="V972" t="s">
        <v>13759</v>
      </c>
      <c r="W972" t="s">
        <v>13760</v>
      </c>
      <c r="X972" t="s">
        <v>8538</v>
      </c>
      <c r="Y972" t="s">
        <v>13761</v>
      </c>
      <c r="Z972" t="s">
        <v>74</v>
      </c>
      <c r="AA972" t="s">
        <v>13762</v>
      </c>
      <c r="AB972" t="s">
        <v>13763</v>
      </c>
      <c r="AC972" t="s">
        <v>74</v>
      </c>
      <c r="AD972" t="s">
        <v>74</v>
      </c>
      <c r="AE972" t="s">
        <v>74</v>
      </c>
      <c r="AF972" t="s">
        <v>74</v>
      </c>
      <c r="AG972">
        <v>34</v>
      </c>
      <c r="AH972">
        <v>3</v>
      </c>
      <c r="AI972">
        <v>3</v>
      </c>
      <c r="AJ972">
        <v>0</v>
      </c>
      <c r="AK972">
        <v>0</v>
      </c>
      <c r="AL972" t="s">
        <v>13764</v>
      </c>
      <c r="AM972" t="s">
        <v>13765</v>
      </c>
      <c r="AN972" t="s">
        <v>13766</v>
      </c>
      <c r="AO972" t="s">
        <v>13767</v>
      </c>
      <c r="AP972" t="s">
        <v>74</v>
      </c>
      <c r="AQ972" t="s">
        <v>74</v>
      </c>
      <c r="AR972" t="s">
        <v>13768</v>
      </c>
      <c r="AS972" t="s">
        <v>13769</v>
      </c>
      <c r="AT972" t="s">
        <v>74</v>
      </c>
      <c r="AU972">
        <v>2005</v>
      </c>
      <c r="AV972">
        <v>121</v>
      </c>
      <c r="AW972">
        <v>2</v>
      </c>
      <c r="AX972" t="s">
        <v>74</v>
      </c>
      <c r="AY972" t="s">
        <v>74</v>
      </c>
      <c r="AZ972" t="s">
        <v>74</v>
      </c>
      <c r="BA972" t="s">
        <v>74</v>
      </c>
      <c r="BB972">
        <v>203</v>
      </c>
      <c r="BC972">
        <v>218</v>
      </c>
      <c r="BD972" t="s">
        <v>74</v>
      </c>
      <c r="BE972" t="s">
        <v>13770</v>
      </c>
      <c r="BF972" t="str">
        <f>HYPERLINK("http://dx.doi.org/10.1080/00369220518737231","http://dx.doi.org/10.1080/00369220518737231")</f>
        <v>http://dx.doi.org/10.1080/00369220518737231</v>
      </c>
      <c r="BG972" t="s">
        <v>74</v>
      </c>
      <c r="BH972" t="s">
        <v>74</v>
      </c>
      <c r="BI972">
        <v>16</v>
      </c>
      <c r="BJ972" t="s">
        <v>6049</v>
      </c>
      <c r="BK972" t="s">
        <v>340</v>
      </c>
      <c r="BL972" t="s">
        <v>6049</v>
      </c>
      <c r="BM972" t="s">
        <v>13771</v>
      </c>
      <c r="BN972" t="s">
        <v>74</v>
      </c>
      <c r="BO972" t="s">
        <v>143</v>
      </c>
      <c r="BP972" t="s">
        <v>74</v>
      </c>
      <c r="BQ972" t="s">
        <v>74</v>
      </c>
      <c r="BR972" t="s">
        <v>97</v>
      </c>
      <c r="BS972" t="s">
        <v>13772</v>
      </c>
      <c r="BT972" t="str">
        <f>HYPERLINK("https%3A%2F%2Fwww.webofscience.com%2Fwos%2Fwoscc%2Ffull-record%2FWOS:000237154200005","View Full Record in Web of Science")</f>
        <v>View Full Record in Web of Science</v>
      </c>
    </row>
    <row r="973" spans="1:72" x14ac:dyDescent="0.15">
      <c r="A973" t="s">
        <v>8867</v>
      </c>
      <c r="B973" t="s">
        <v>13773</v>
      </c>
      <c r="C973" t="s">
        <v>74</v>
      </c>
      <c r="D973" t="s">
        <v>74</v>
      </c>
      <c r="E973" t="s">
        <v>8869</v>
      </c>
      <c r="F973" t="s">
        <v>13773</v>
      </c>
      <c r="G973" t="s">
        <v>74</v>
      </c>
      <c r="H973" t="s">
        <v>74</v>
      </c>
      <c r="I973" t="s">
        <v>13774</v>
      </c>
      <c r="J973" t="s">
        <v>13775</v>
      </c>
      <c r="K973" t="s">
        <v>74</v>
      </c>
      <c r="L973" t="s">
        <v>74</v>
      </c>
      <c r="M973" t="s">
        <v>77</v>
      </c>
      <c r="N973" t="s">
        <v>8873</v>
      </c>
      <c r="O973" t="s">
        <v>13776</v>
      </c>
      <c r="P973" t="s">
        <v>13777</v>
      </c>
      <c r="Q973" t="s">
        <v>11005</v>
      </c>
      <c r="R973" t="s">
        <v>74</v>
      </c>
      <c r="S973" t="s">
        <v>74</v>
      </c>
      <c r="T973" t="s">
        <v>74</v>
      </c>
      <c r="U973" t="s">
        <v>74</v>
      </c>
      <c r="V973" t="s">
        <v>13778</v>
      </c>
      <c r="W973" t="s">
        <v>13779</v>
      </c>
      <c r="X973" t="s">
        <v>13780</v>
      </c>
      <c r="Y973" t="s">
        <v>13781</v>
      </c>
      <c r="Z973" t="s">
        <v>13782</v>
      </c>
      <c r="AA973" t="s">
        <v>74</v>
      </c>
      <c r="AB973" t="s">
        <v>74</v>
      </c>
      <c r="AC973" t="s">
        <v>74</v>
      </c>
      <c r="AD973" t="s">
        <v>74</v>
      </c>
      <c r="AE973" t="s">
        <v>74</v>
      </c>
      <c r="AF973" t="s">
        <v>74</v>
      </c>
      <c r="AG973">
        <v>18</v>
      </c>
      <c r="AH973">
        <v>1</v>
      </c>
      <c r="AI973">
        <v>1</v>
      </c>
      <c r="AJ973">
        <v>0</v>
      </c>
      <c r="AK973">
        <v>0</v>
      </c>
      <c r="AL973" t="s">
        <v>8869</v>
      </c>
      <c r="AM973" t="s">
        <v>134</v>
      </c>
      <c r="AN973" t="s">
        <v>8884</v>
      </c>
      <c r="AO973" t="s">
        <v>74</v>
      </c>
      <c r="AP973" t="s">
        <v>74</v>
      </c>
      <c r="AQ973" t="s">
        <v>13783</v>
      </c>
      <c r="AR973" t="s">
        <v>74</v>
      </c>
      <c r="AS973" t="s">
        <v>74</v>
      </c>
      <c r="AT973" t="s">
        <v>74</v>
      </c>
      <c r="AU973">
        <v>2005</v>
      </c>
      <c r="AV973" t="s">
        <v>74</v>
      </c>
      <c r="AW973" t="s">
        <v>74</v>
      </c>
      <c r="AX973" t="s">
        <v>74</v>
      </c>
      <c r="AY973" t="s">
        <v>74</v>
      </c>
      <c r="AZ973" t="s">
        <v>74</v>
      </c>
      <c r="BA973" t="s">
        <v>74</v>
      </c>
      <c r="BB973">
        <v>133</v>
      </c>
      <c r="BC973">
        <v>140</v>
      </c>
      <c r="BD973" t="s">
        <v>74</v>
      </c>
      <c r="BE973" t="s">
        <v>74</v>
      </c>
      <c r="BF973" t="s">
        <v>74</v>
      </c>
      <c r="BG973" t="s">
        <v>74</v>
      </c>
      <c r="BH973" t="s">
        <v>74</v>
      </c>
      <c r="BI973">
        <v>8</v>
      </c>
      <c r="BJ973" t="s">
        <v>13784</v>
      </c>
      <c r="BK973" t="s">
        <v>8890</v>
      </c>
      <c r="BL973" t="s">
        <v>13784</v>
      </c>
      <c r="BM973" t="s">
        <v>13785</v>
      </c>
      <c r="BN973" t="s">
        <v>74</v>
      </c>
      <c r="BO973" t="s">
        <v>74</v>
      </c>
      <c r="BP973" t="s">
        <v>74</v>
      </c>
      <c r="BQ973" t="s">
        <v>74</v>
      </c>
      <c r="BR973" t="s">
        <v>97</v>
      </c>
      <c r="BS973" t="s">
        <v>13786</v>
      </c>
      <c r="BT973" t="str">
        <f>HYPERLINK("https%3A%2F%2Fwww.webofscience.com%2Fwos%2Fwoscc%2Ffull-record%2FWOS:000233860700016","View Full Record in Web of Science")</f>
        <v>View Full Record in Web of Science</v>
      </c>
    </row>
    <row r="974" spans="1:72" x14ac:dyDescent="0.15">
      <c r="A974" t="s">
        <v>72</v>
      </c>
      <c r="B974" t="s">
        <v>13787</v>
      </c>
      <c r="C974" t="s">
        <v>74</v>
      </c>
      <c r="D974" t="s">
        <v>74</v>
      </c>
      <c r="E974" t="s">
        <v>74</v>
      </c>
      <c r="F974" t="s">
        <v>13787</v>
      </c>
      <c r="G974" t="s">
        <v>74</v>
      </c>
      <c r="H974" t="s">
        <v>74</v>
      </c>
      <c r="I974" t="s">
        <v>13788</v>
      </c>
      <c r="J974" t="s">
        <v>13789</v>
      </c>
      <c r="K974" t="s">
        <v>74</v>
      </c>
      <c r="L974" t="s">
        <v>74</v>
      </c>
      <c r="M974" t="s">
        <v>77</v>
      </c>
      <c r="N974" t="s">
        <v>52</v>
      </c>
      <c r="O974" t="s">
        <v>13790</v>
      </c>
      <c r="P974" t="s">
        <v>13791</v>
      </c>
      <c r="Q974" t="s">
        <v>13792</v>
      </c>
      <c r="R974" t="s">
        <v>74</v>
      </c>
      <c r="S974" t="s">
        <v>74</v>
      </c>
      <c r="T974" t="s">
        <v>74</v>
      </c>
      <c r="U974" t="s">
        <v>74</v>
      </c>
      <c r="V974" t="s">
        <v>74</v>
      </c>
      <c r="W974" t="s">
        <v>13793</v>
      </c>
      <c r="X974" t="s">
        <v>13794</v>
      </c>
      <c r="Y974" t="s">
        <v>74</v>
      </c>
      <c r="Z974" t="s">
        <v>74</v>
      </c>
      <c r="AA974" t="s">
        <v>74</v>
      </c>
      <c r="AB974" t="s">
        <v>74</v>
      </c>
      <c r="AC974" t="s">
        <v>74</v>
      </c>
      <c r="AD974" t="s">
        <v>74</v>
      </c>
      <c r="AE974" t="s">
        <v>74</v>
      </c>
      <c r="AF974" t="s">
        <v>74</v>
      </c>
      <c r="AG974">
        <v>0</v>
      </c>
      <c r="AH974">
        <v>0</v>
      </c>
      <c r="AI974">
        <v>0</v>
      </c>
      <c r="AJ974">
        <v>0</v>
      </c>
      <c r="AK974">
        <v>1</v>
      </c>
      <c r="AL974" t="s">
        <v>4655</v>
      </c>
      <c r="AM974" t="s">
        <v>4656</v>
      </c>
      <c r="AN974" t="s">
        <v>4657</v>
      </c>
      <c r="AO974" t="s">
        <v>74</v>
      </c>
      <c r="AP974" t="s">
        <v>13795</v>
      </c>
      <c r="AQ974" t="s">
        <v>74</v>
      </c>
      <c r="AR974" t="s">
        <v>13789</v>
      </c>
      <c r="AS974" t="s">
        <v>13796</v>
      </c>
      <c r="AT974" t="s">
        <v>74</v>
      </c>
      <c r="AU974">
        <v>2005</v>
      </c>
      <c r="AV974">
        <v>28</v>
      </c>
      <c r="AW974" t="s">
        <v>74</v>
      </c>
      <c r="AX974" t="s">
        <v>74</v>
      </c>
      <c r="AY974" t="s">
        <v>1269</v>
      </c>
      <c r="AZ974" t="s">
        <v>74</v>
      </c>
      <c r="BA974">
        <v>201</v>
      </c>
      <c r="BB974" t="s">
        <v>13797</v>
      </c>
      <c r="BC974" t="s">
        <v>13797</v>
      </c>
      <c r="BD974" t="s">
        <v>74</v>
      </c>
      <c r="BE974" t="s">
        <v>74</v>
      </c>
      <c r="BF974" t="s">
        <v>74</v>
      </c>
      <c r="BG974" t="s">
        <v>74</v>
      </c>
      <c r="BH974" t="s">
        <v>74</v>
      </c>
      <c r="BI974">
        <v>1</v>
      </c>
      <c r="BJ974" t="s">
        <v>13798</v>
      </c>
      <c r="BK974" t="s">
        <v>514</v>
      </c>
      <c r="BL974" t="s">
        <v>13799</v>
      </c>
      <c r="BM974" t="s">
        <v>13800</v>
      </c>
      <c r="BN974" t="s">
        <v>74</v>
      </c>
      <c r="BO974" t="s">
        <v>74</v>
      </c>
      <c r="BP974" t="s">
        <v>74</v>
      </c>
      <c r="BQ974" t="s">
        <v>74</v>
      </c>
      <c r="BR974" t="s">
        <v>97</v>
      </c>
      <c r="BS974" t="s">
        <v>13801</v>
      </c>
      <c r="BT974" t="str">
        <f>HYPERLINK("https%3A%2F%2Fwww.webofscience.com%2Fwos%2Fwoscc%2Ffull-record%2FWOS:000228906100202","View Full Record in Web of Science")</f>
        <v>View Full Record in Web of Science</v>
      </c>
    </row>
    <row r="975" spans="1:72" x14ac:dyDescent="0.15">
      <c r="A975" t="s">
        <v>72</v>
      </c>
      <c r="B975" t="s">
        <v>13802</v>
      </c>
      <c r="C975" t="s">
        <v>74</v>
      </c>
      <c r="D975" t="s">
        <v>74</v>
      </c>
      <c r="E975" t="s">
        <v>74</v>
      </c>
      <c r="F975" t="s">
        <v>13802</v>
      </c>
      <c r="G975" t="s">
        <v>74</v>
      </c>
      <c r="H975" t="s">
        <v>74</v>
      </c>
      <c r="I975" t="s">
        <v>13803</v>
      </c>
      <c r="J975" t="s">
        <v>6974</v>
      </c>
      <c r="K975" t="s">
        <v>74</v>
      </c>
      <c r="L975" t="s">
        <v>74</v>
      </c>
      <c r="M975" t="s">
        <v>77</v>
      </c>
      <c r="N975" t="s">
        <v>78</v>
      </c>
      <c r="O975" t="s">
        <v>74</v>
      </c>
      <c r="P975" t="s">
        <v>74</v>
      </c>
      <c r="Q975" t="s">
        <v>74</v>
      </c>
      <c r="R975" t="s">
        <v>74</v>
      </c>
      <c r="S975" t="s">
        <v>74</v>
      </c>
      <c r="T975" t="s">
        <v>13804</v>
      </c>
      <c r="U975" t="s">
        <v>13805</v>
      </c>
      <c r="V975" t="s">
        <v>13806</v>
      </c>
      <c r="W975" t="s">
        <v>13807</v>
      </c>
      <c r="X975" t="s">
        <v>2134</v>
      </c>
      <c r="Y975" t="s">
        <v>13808</v>
      </c>
      <c r="Z975" t="s">
        <v>13809</v>
      </c>
      <c r="AA975" t="s">
        <v>13810</v>
      </c>
      <c r="AB975" t="s">
        <v>74</v>
      </c>
      <c r="AC975" t="s">
        <v>74</v>
      </c>
      <c r="AD975" t="s">
        <v>74</v>
      </c>
      <c r="AE975" t="s">
        <v>74</v>
      </c>
      <c r="AF975" t="s">
        <v>74</v>
      </c>
      <c r="AG975">
        <v>27</v>
      </c>
      <c r="AH975">
        <v>40</v>
      </c>
      <c r="AI975">
        <v>67</v>
      </c>
      <c r="AJ975">
        <v>1</v>
      </c>
      <c r="AK975">
        <v>81</v>
      </c>
      <c r="AL975" t="s">
        <v>255</v>
      </c>
      <c r="AM975" t="s">
        <v>256</v>
      </c>
      <c r="AN975" t="s">
        <v>257</v>
      </c>
      <c r="AO975" t="s">
        <v>6983</v>
      </c>
      <c r="AP975" t="s">
        <v>74</v>
      </c>
      <c r="AQ975" t="s">
        <v>74</v>
      </c>
      <c r="AR975" t="s">
        <v>6984</v>
      </c>
      <c r="AS975" t="s">
        <v>6985</v>
      </c>
      <c r="AT975" t="s">
        <v>9676</v>
      </c>
      <c r="AU975">
        <v>2005</v>
      </c>
      <c r="AV975">
        <v>37</v>
      </c>
      <c r="AW975">
        <v>1</v>
      </c>
      <c r="AX975" t="s">
        <v>74</v>
      </c>
      <c r="AY975" t="s">
        <v>74</v>
      </c>
      <c r="AZ975" t="s">
        <v>74</v>
      </c>
      <c r="BA975" t="s">
        <v>74</v>
      </c>
      <c r="BB975">
        <v>81</v>
      </c>
      <c r="BC975">
        <v>91</v>
      </c>
      <c r="BD975" t="s">
        <v>74</v>
      </c>
      <c r="BE975" t="s">
        <v>13811</v>
      </c>
      <c r="BF975" t="str">
        <f>HYPERLINK("http://dx.doi.org/10.1016/j.soilbio.2004.07.026","http://dx.doi.org/10.1016/j.soilbio.2004.07.026")</f>
        <v>http://dx.doi.org/10.1016/j.soilbio.2004.07.026</v>
      </c>
      <c r="BG975" t="s">
        <v>74</v>
      </c>
      <c r="BH975" t="s">
        <v>74</v>
      </c>
      <c r="BI975">
        <v>11</v>
      </c>
      <c r="BJ975" t="s">
        <v>6987</v>
      </c>
      <c r="BK975" t="s">
        <v>95</v>
      </c>
      <c r="BL975" t="s">
        <v>6988</v>
      </c>
      <c r="BM975" t="s">
        <v>13812</v>
      </c>
      <c r="BN975" t="s">
        <v>74</v>
      </c>
      <c r="BO975" t="s">
        <v>74</v>
      </c>
      <c r="BP975" t="s">
        <v>74</v>
      </c>
      <c r="BQ975" t="s">
        <v>74</v>
      </c>
      <c r="BR975" t="s">
        <v>97</v>
      </c>
      <c r="BS975" t="s">
        <v>13813</v>
      </c>
      <c r="BT975" t="str">
        <f>HYPERLINK("https%3A%2F%2Fwww.webofscience.com%2Fwos%2Fwoscc%2Ffull-record%2FWOS:000226338900008","View Full Record in Web of Science")</f>
        <v>View Full Record in Web of Science</v>
      </c>
    </row>
    <row r="976" spans="1:72" x14ac:dyDescent="0.15">
      <c r="A976" t="s">
        <v>72</v>
      </c>
      <c r="B976" t="s">
        <v>13814</v>
      </c>
      <c r="C976" t="s">
        <v>74</v>
      </c>
      <c r="D976" t="s">
        <v>74</v>
      </c>
      <c r="E976" t="s">
        <v>74</v>
      </c>
      <c r="F976" t="s">
        <v>13814</v>
      </c>
      <c r="G976" t="s">
        <v>74</v>
      </c>
      <c r="H976" t="s">
        <v>74</v>
      </c>
      <c r="I976" t="s">
        <v>13815</v>
      </c>
      <c r="J976" t="s">
        <v>13816</v>
      </c>
      <c r="K976" t="s">
        <v>74</v>
      </c>
      <c r="L976" t="s">
        <v>74</v>
      </c>
      <c r="M976" t="s">
        <v>77</v>
      </c>
      <c r="N976" t="s">
        <v>78</v>
      </c>
      <c r="O976" t="s">
        <v>74</v>
      </c>
      <c r="P976" t="s">
        <v>74</v>
      </c>
      <c r="Q976" t="s">
        <v>74</v>
      </c>
      <c r="R976" t="s">
        <v>74</v>
      </c>
      <c r="S976" t="s">
        <v>74</v>
      </c>
      <c r="T976" t="s">
        <v>13817</v>
      </c>
      <c r="U976" t="s">
        <v>13818</v>
      </c>
      <c r="V976" t="s">
        <v>13819</v>
      </c>
      <c r="W976" t="s">
        <v>13820</v>
      </c>
      <c r="X976" t="s">
        <v>13821</v>
      </c>
      <c r="Y976" t="s">
        <v>13822</v>
      </c>
      <c r="Z976" t="s">
        <v>13823</v>
      </c>
      <c r="AA976" t="s">
        <v>74</v>
      </c>
      <c r="AB976" t="s">
        <v>74</v>
      </c>
      <c r="AC976" t="s">
        <v>74</v>
      </c>
      <c r="AD976" t="s">
        <v>74</v>
      </c>
      <c r="AE976" t="s">
        <v>74</v>
      </c>
      <c r="AF976" t="s">
        <v>74</v>
      </c>
      <c r="AG976">
        <v>62</v>
      </c>
      <c r="AH976">
        <v>35</v>
      </c>
      <c r="AI976">
        <v>37</v>
      </c>
      <c r="AJ976">
        <v>3</v>
      </c>
      <c r="AK976">
        <v>32</v>
      </c>
      <c r="AL976" t="s">
        <v>5476</v>
      </c>
      <c r="AM976" t="s">
        <v>5477</v>
      </c>
      <c r="AN976" t="s">
        <v>5478</v>
      </c>
      <c r="AO976" t="s">
        <v>13824</v>
      </c>
      <c r="AP976" t="s">
        <v>13825</v>
      </c>
      <c r="AQ976" t="s">
        <v>74</v>
      </c>
      <c r="AR976" t="s">
        <v>13826</v>
      </c>
      <c r="AS976" t="s">
        <v>13827</v>
      </c>
      <c r="AT976" t="s">
        <v>74</v>
      </c>
      <c r="AU976">
        <v>2005</v>
      </c>
      <c r="AV976">
        <v>14</v>
      </c>
      <c r="AW976">
        <v>3</v>
      </c>
      <c r="AX976" t="s">
        <v>74</v>
      </c>
      <c r="AY976" t="s">
        <v>74</v>
      </c>
      <c r="AZ976" t="s">
        <v>74</v>
      </c>
      <c r="BA976" t="s">
        <v>74</v>
      </c>
      <c r="BB976">
        <v>281</v>
      </c>
      <c r="BC976">
        <v>291</v>
      </c>
      <c r="BD976" t="s">
        <v>74</v>
      </c>
      <c r="BE976" t="s">
        <v>13828</v>
      </c>
      <c r="BF976" t="str">
        <f>HYPERLINK("http://dx.doi.org/10.1080/15320380590928339","http://dx.doi.org/10.1080/15320380590928339")</f>
        <v>http://dx.doi.org/10.1080/15320380590928339</v>
      </c>
      <c r="BG976" t="s">
        <v>74</v>
      </c>
      <c r="BH976" t="s">
        <v>74</v>
      </c>
      <c r="BI976">
        <v>11</v>
      </c>
      <c r="BJ976" t="s">
        <v>1402</v>
      </c>
      <c r="BK976" t="s">
        <v>95</v>
      </c>
      <c r="BL976" t="s">
        <v>219</v>
      </c>
      <c r="BM976" t="s">
        <v>13829</v>
      </c>
      <c r="BN976" t="s">
        <v>74</v>
      </c>
      <c r="BO976" t="s">
        <v>74</v>
      </c>
      <c r="BP976" t="s">
        <v>74</v>
      </c>
      <c r="BQ976" t="s">
        <v>74</v>
      </c>
      <c r="BR976" t="s">
        <v>97</v>
      </c>
      <c r="BS976" t="s">
        <v>13830</v>
      </c>
      <c r="BT976" t="str">
        <f>HYPERLINK("https%3A%2F%2Fwww.webofscience.com%2Fwos%2Fwoscc%2Ffull-record%2FWOS:000228907300006","View Full Record in Web of Science")</f>
        <v>View Full Record in Web of Science</v>
      </c>
    </row>
    <row r="977" spans="1:72" x14ac:dyDescent="0.15">
      <c r="A977" t="s">
        <v>1269</v>
      </c>
      <c r="B977" t="s">
        <v>13831</v>
      </c>
      <c r="C977" t="s">
        <v>74</v>
      </c>
      <c r="D977" t="s">
        <v>13832</v>
      </c>
      <c r="E977" t="s">
        <v>74</v>
      </c>
      <c r="F977" t="s">
        <v>13831</v>
      </c>
      <c r="G977" t="s">
        <v>74</v>
      </c>
      <c r="H977" t="s">
        <v>74</v>
      </c>
      <c r="I977" t="s">
        <v>13833</v>
      </c>
      <c r="J977" t="s">
        <v>13834</v>
      </c>
      <c r="K977" t="s">
        <v>9731</v>
      </c>
      <c r="L977" t="s">
        <v>74</v>
      </c>
      <c r="M977" t="s">
        <v>77</v>
      </c>
      <c r="N977" t="s">
        <v>495</v>
      </c>
      <c r="O977" t="s">
        <v>13835</v>
      </c>
      <c r="P977" t="s">
        <v>13836</v>
      </c>
      <c r="Q977" t="s">
        <v>13837</v>
      </c>
      <c r="R977" t="s">
        <v>74</v>
      </c>
      <c r="S977" t="s">
        <v>74</v>
      </c>
      <c r="T977" t="s">
        <v>13838</v>
      </c>
      <c r="U977" t="s">
        <v>13839</v>
      </c>
      <c r="V977" t="s">
        <v>13840</v>
      </c>
      <c r="W977" t="s">
        <v>13841</v>
      </c>
      <c r="X977" t="s">
        <v>13842</v>
      </c>
      <c r="Y977" t="s">
        <v>13843</v>
      </c>
      <c r="Z977" t="s">
        <v>9161</v>
      </c>
      <c r="AA977" t="s">
        <v>74</v>
      </c>
      <c r="AB977" t="s">
        <v>74</v>
      </c>
      <c r="AC977" t="s">
        <v>74</v>
      </c>
      <c r="AD977" t="s">
        <v>74</v>
      </c>
      <c r="AE977" t="s">
        <v>74</v>
      </c>
      <c r="AF977" t="s">
        <v>74</v>
      </c>
      <c r="AG977">
        <v>14</v>
      </c>
      <c r="AH977">
        <v>2</v>
      </c>
      <c r="AI977">
        <v>2</v>
      </c>
      <c r="AJ977">
        <v>0</v>
      </c>
      <c r="AK977">
        <v>0</v>
      </c>
      <c r="AL977" t="s">
        <v>9696</v>
      </c>
      <c r="AM977" t="s">
        <v>256</v>
      </c>
      <c r="AN977" t="s">
        <v>9697</v>
      </c>
      <c r="AO977" t="s">
        <v>9698</v>
      </c>
      <c r="AP977" t="s">
        <v>74</v>
      </c>
      <c r="AQ977" t="s">
        <v>74</v>
      </c>
      <c r="AR977" t="s">
        <v>9741</v>
      </c>
      <c r="AS977" t="s">
        <v>74</v>
      </c>
      <c r="AT977" t="s">
        <v>74</v>
      </c>
      <c r="AU977">
        <v>2005</v>
      </c>
      <c r="AV977">
        <v>36</v>
      </c>
      <c r="AW977">
        <v>10</v>
      </c>
      <c r="AX977" t="s">
        <v>74</v>
      </c>
      <c r="AY977" t="s">
        <v>74</v>
      </c>
      <c r="AZ977">
        <v>2005</v>
      </c>
      <c r="BA977" t="s">
        <v>74</v>
      </c>
      <c r="BB977">
        <v>1791</v>
      </c>
      <c r="BC977">
        <v>1796</v>
      </c>
      <c r="BD977" t="s">
        <v>74</v>
      </c>
      <c r="BE977" t="s">
        <v>13844</v>
      </c>
      <c r="BF977" t="str">
        <f>HYPERLINK("http://dx.doi.org/10.1016/j.asr.2005.06.082","http://dx.doi.org/10.1016/j.asr.2005.06.082")</f>
        <v>http://dx.doi.org/10.1016/j.asr.2005.06.082</v>
      </c>
      <c r="BG977" t="s">
        <v>74</v>
      </c>
      <c r="BH977" t="s">
        <v>74</v>
      </c>
      <c r="BI977">
        <v>6</v>
      </c>
      <c r="BJ977" t="s">
        <v>10984</v>
      </c>
      <c r="BK977" t="s">
        <v>989</v>
      </c>
      <c r="BL977" t="s">
        <v>10985</v>
      </c>
      <c r="BM977" t="s">
        <v>13845</v>
      </c>
      <c r="BN977" t="s">
        <v>74</v>
      </c>
      <c r="BO977" t="s">
        <v>74</v>
      </c>
      <c r="BP977" t="s">
        <v>74</v>
      </c>
      <c r="BQ977" t="s">
        <v>74</v>
      </c>
      <c r="BR977" t="s">
        <v>97</v>
      </c>
      <c r="BS977" t="s">
        <v>13846</v>
      </c>
      <c r="BT977" t="str">
        <f>HYPERLINK("https%3A%2F%2Fwww.webofscience.com%2Fwos%2Fwoscc%2Ffull-record%2FWOS:000236277300007","View Full Record in Web of Science")</f>
        <v>View Full Record in Web of Science</v>
      </c>
    </row>
    <row r="978" spans="1:72" x14ac:dyDescent="0.15">
      <c r="A978" t="s">
        <v>72</v>
      </c>
      <c r="B978" t="s">
        <v>13847</v>
      </c>
      <c r="C978" t="s">
        <v>74</v>
      </c>
      <c r="D978" t="s">
        <v>74</v>
      </c>
      <c r="E978" t="s">
        <v>74</v>
      </c>
      <c r="F978" t="s">
        <v>13847</v>
      </c>
      <c r="G978" t="s">
        <v>74</v>
      </c>
      <c r="H978" t="s">
        <v>74</v>
      </c>
      <c r="I978" t="s">
        <v>13848</v>
      </c>
      <c r="J978" t="s">
        <v>3998</v>
      </c>
      <c r="K978" t="s">
        <v>74</v>
      </c>
      <c r="L978" t="s">
        <v>74</v>
      </c>
      <c r="M978" t="s">
        <v>77</v>
      </c>
      <c r="N978" t="s">
        <v>78</v>
      </c>
      <c r="O978" t="s">
        <v>74</v>
      </c>
      <c r="P978" t="s">
        <v>74</v>
      </c>
      <c r="Q978" t="s">
        <v>74</v>
      </c>
      <c r="R978" t="s">
        <v>74</v>
      </c>
      <c r="S978" t="s">
        <v>74</v>
      </c>
      <c r="T978" t="s">
        <v>74</v>
      </c>
      <c r="U978" t="s">
        <v>13849</v>
      </c>
      <c r="V978" t="s">
        <v>13850</v>
      </c>
      <c r="W978" t="s">
        <v>13851</v>
      </c>
      <c r="X978" t="s">
        <v>13852</v>
      </c>
      <c r="Y978" t="s">
        <v>13853</v>
      </c>
      <c r="Z978" t="s">
        <v>13854</v>
      </c>
      <c r="AA978" t="s">
        <v>13855</v>
      </c>
      <c r="AB978" t="s">
        <v>13856</v>
      </c>
      <c r="AC978" t="s">
        <v>74</v>
      </c>
      <c r="AD978" t="s">
        <v>74</v>
      </c>
      <c r="AE978" t="s">
        <v>74</v>
      </c>
      <c r="AF978" t="s">
        <v>74</v>
      </c>
      <c r="AG978">
        <v>44</v>
      </c>
      <c r="AH978">
        <v>38</v>
      </c>
      <c r="AI978">
        <v>40</v>
      </c>
      <c r="AJ978">
        <v>0</v>
      </c>
      <c r="AK978">
        <v>3</v>
      </c>
      <c r="AL978" t="s">
        <v>4005</v>
      </c>
      <c r="AM978" t="s">
        <v>4006</v>
      </c>
      <c r="AN978" t="s">
        <v>4007</v>
      </c>
      <c r="AO978" t="s">
        <v>4008</v>
      </c>
      <c r="AP978" t="s">
        <v>74</v>
      </c>
      <c r="AQ978" t="s">
        <v>74</v>
      </c>
      <c r="AR978" t="s">
        <v>4010</v>
      </c>
      <c r="AS978" t="s">
        <v>4011</v>
      </c>
      <c r="AT978" t="s">
        <v>10124</v>
      </c>
      <c r="AU978">
        <v>2005</v>
      </c>
      <c r="AV978">
        <v>101</v>
      </c>
      <c r="AW978" t="s">
        <v>442</v>
      </c>
      <c r="AX978" t="s">
        <v>74</v>
      </c>
      <c r="AY978" t="s">
        <v>74</v>
      </c>
      <c r="AZ978" t="s">
        <v>74</v>
      </c>
      <c r="BA978" t="s">
        <v>74</v>
      </c>
      <c r="BB978">
        <v>29</v>
      </c>
      <c r="BC978">
        <v>35</v>
      </c>
      <c r="BD978" t="s">
        <v>74</v>
      </c>
      <c r="BE978" t="s">
        <v>74</v>
      </c>
      <c r="BF978" t="s">
        <v>74</v>
      </c>
      <c r="BG978" t="s">
        <v>74</v>
      </c>
      <c r="BH978" t="s">
        <v>74</v>
      </c>
      <c r="BI978">
        <v>7</v>
      </c>
      <c r="BJ978" t="s">
        <v>682</v>
      </c>
      <c r="BK978" t="s">
        <v>95</v>
      </c>
      <c r="BL978" t="s">
        <v>683</v>
      </c>
      <c r="BM978" t="s">
        <v>13857</v>
      </c>
      <c r="BN978" t="s">
        <v>74</v>
      </c>
      <c r="BO978" t="s">
        <v>74</v>
      </c>
      <c r="BP978" t="s">
        <v>74</v>
      </c>
      <c r="BQ978" t="s">
        <v>74</v>
      </c>
      <c r="BR978" t="s">
        <v>97</v>
      </c>
      <c r="BS978" t="s">
        <v>13858</v>
      </c>
      <c r="BT978" t="str">
        <f>HYPERLINK("https%3A%2F%2Fwww.webofscience.com%2Fwos%2Fwoscc%2Ffull-record%2FWOS:000229423000012","View Full Record in Web of Science")</f>
        <v>View Full Record in Web of Science</v>
      </c>
    </row>
    <row r="979" spans="1:72" x14ac:dyDescent="0.15">
      <c r="A979" t="s">
        <v>1269</v>
      </c>
      <c r="B979" t="s">
        <v>8576</v>
      </c>
      <c r="C979" t="s">
        <v>74</v>
      </c>
      <c r="D979" t="s">
        <v>13859</v>
      </c>
      <c r="E979" t="s">
        <v>74</v>
      </c>
      <c r="F979" t="s">
        <v>8576</v>
      </c>
      <c r="G979" t="s">
        <v>74</v>
      </c>
      <c r="H979" t="s">
        <v>74</v>
      </c>
      <c r="I979" t="s">
        <v>13860</v>
      </c>
      <c r="J979" t="s">
        <v>13861</v>
      </c>
      <c r="K979" t="s">
        <v>9684</v>
      </c>
      <c r="L979" t="s">
        <v>74</v>
      </c>
      <c r="M979" t="s">
        <v>77</v>
      </c>
      <c r="N979" t="s">
        <v>495</v>
      </c>
      <c r="O979" t="s">
        <v>9685</v>
      </c>
      <c r="P979" t="s">
        <v>9686</v>
      </c>
      <c r="Q979" t="s">
        <v>9687</v>
      </c>
      <c r="R979" t="s">
        <v>74</v>
      </c>
      <c r="S979" t="s">
        <v>74</v>
      </c>
      <c r="T979" t="s">
        <v>13862</v>
      </c>
      <c r="U979" t="s">
        <v>13863</v>
      </c>
      <c r="V979" t="s">
        <v>13864</v>
      </c>
      <c r="W979" t="s">
        <v>13865</v>
      </c>
      <c r="X979" t="s">
        <v>13866</v>
      </c>
      <c r="Y979" t="s">
        <v>13867</v>
      </c>
      <c r="Z979" t="s">
        <v>13868</v>
      </c>
      <c r="AA979" t="s">
        <v>74</v>
      </c>
      <c r="AB979" t="s">
        <v>74</v>
      </c>
      <c r="AC979" t="s">
        <v>74</v>
      </c>
      <c r="AD979" t="s">
        <v>74</v>
      </c>
      <c r="AE979" t="s">
        <v>74</v>
      </c>
      <c r="AF979" t="s">
        <v>74</v>
      </c>
      <c r="AG979">
        <v>19</v>
      </c>
      <c r="AH979">
        <v>7</v>
      </c>
      <c r="AI979">
        <v>7</v>
      </c>
      <c r="AJ979">
        <v>0</v>
      </c>
      <c r="AK979">
        <v>2</v>
      </c>
      <c r="AL979" t="s">
        <v>9696</v>
      </c>
      <c r="AM979" t="s">
        <v>256</v>
      </c>
      <c r="AN979" t="s">
        <v>9697</v>
      </c>
      <c r="AO979" t="s">
        <v>9698</v>
      </c>
      <c r="AP979" t="s">
        <v>74</v>
      </c>
      <c r="AQ979" t="s">
        <v>74</v>
      </c>
      <c r="AR979" t="s">
        <v>9699</v>
      </c>
      <c r="AS979" t="s">
        <v>74</v>
      </c>
      <c r="AT979" t="s">
        <v>74</v>
      </c>
      <c r="AU979">
        <v>2005</v>
      </c>
      <c r="AV979">
        <v>36</v>
      </c>
      <c r="AW979">
        <v>9</v>
      </c>
      <c r="AX979" t="s">
        <v>74</v>
      </c>
      <c r="AY979" t="s">
        <v>74</v>
      </c>
      <c r="AZ979">
        <v>2005</v>
      </c>
      <c r="BA979" t="s">
        <v>74</v>
      </c>
      <c r="BB979">
        <v>1638</v>
      </c>
      <c r="BC979">
        <v>1644</v>
      </c>
      <c r="BD979" t="s">
        <v>74</v>
      </c>
      <c r="BE979" t="s">
        <v>13869</v>
      </c>
      <c r="BF979" t="str">
        <f>HYPERLINK("http://dx.doi.org/10.1016/j.asr.2005.09.011","http://dx.doi.org/10.1016/j.asr.2005.09.011")</f>
        <v>http://dx.doi.org/10.1016/j.asr.2005.09.011</v>
      </c>
      <c r="BG979" t="s">
        <v>74</v>
      </c>
      <c r="BH979" t="s">
        <v>74</v>
      </c>
      <c r="BI979">
        <v>7</v>
      </c>
      <c r="BJ979" t="s">
        <v>13870</v>
      </c>
      <c r="BK979" t="s">
        <v>989</v>
      </c>
      <c r="BL979" t="s">
        <v>13871</v>
      </c>
      <c r="BM979" t="s">
        <v>13872</v>
      </c>
      <c r="BN979" t="s">
        <v>74</v>
      </c>
      <c r="BO979" t="s">
        <v>74</v>
      </c>
      <c r="BP979" t="s">
        <v>74</v>
      </c>
      <c r="BQ979" t="s">
        <v>74</v>
      </c>
      <c r="BR979" t="s">
        <v>97</v>
      </c>
      <c r="BS979" t="s">
        <v>13873</v>
      </c>
      <c r="BT979" t="str">
        <f>HYPERLINK("https%3A%2F%2Fwww.webofscience.com%2Fwos%2Fwoscc%2Ffull-record%2FWOS:000235249300004","View Full Record in Web of Science")</f>
        <v>View Full Record in Web of Science</v>
      </c>
    </row>
    <row r="980" spans="1:72" x14ac:dyDescent="0.15">
      <c r="A980" t="s">
        <v>72</v>
      </c>
      <c r="B980" t="s">
        <v>13874</v>
      </c>
      <c r="C980" t="s">
        <v>74</v>
      </c>
      <c r="D980" t="s">
        <v>74</v>
      </c>
      <c r="E980" t="s">
        <v>74</v>
      </c>
      <c r="F980" t="s">
        <v>13875</v>
      </c>
      <c r="G980" t="s">
        <v>74</v>
      </c>
      <c r="H980" t="s">
        <v>74</v>
      </c>
      <c r="I980" t="s">
        <v>13876</v>
      </c>
      <c r="J980" t="s">
        <v>13877</v>
      </c>
      <c r="K980" t="s">
        <v>74</v>
      </c>
      <c r="L980" t="s">
        <v>74</v>
      </c>
      <c r="M980" t="s">
        <v>13878</v>
      </c>
      <c r="N980" t="s">
        <v>78</v>
      </c>
      <c r="O980" t="s">
        <v>74</v>
      </c>
      <c r="P980" t="s">
        <v>74</v>
      </c>
      <c r="Q980" t="s">
        <v>74</v>
      </c>
      <c r="R980" t="s">
        <v>74</v>
      </c>
      <c r="S980" t="s">
        <v>74</v>
      </c>
      <c r="T980" t="s">
        <v>74</v>
      </c>
      <c r="U980" t="s">
        <v>74</v>
      </c>
      <c r="V980" t="s">
        <v>13879</v>
      </c>
      <c r="W980" t="s">
        <v>13880</v>
      </c>
      <c r="X980" t="s">
        <v>13881</v>
      </c>
      <c r="Y980" t="s">
        <v>13882</v>
      </c>
      <c r="Z980" t="s">
        <v>74</v>
      </c>
      <c r="AA980" t="s">
        <v>13883</v>
      </c>
      <c r="AB980" t="s">
        <v>13884</v>
      </c>
      <c r="AC980" t="s">
        <v>74</v>
      </c>
      <c r="AD980" t="s">
        <v>74</v>
      </c>
      <c r="AE980" t="s">
        <v>74</v>
      </c>
      <c r="AF980" t="s">
        <v>74</v>
      </c>
      <c r="AG980">
        <v>14</v>
      </c>
      <c r="AH980">
        <v>1</v>
      </c>
      <c r="AI980">
        <v>1</v>
      </c>
      <c r="AJ980">
        <v>0</v>
      </c>
      <c r="AK980">
        <v>0</v>
      </c>
      <c r="AL980" t="s">
        <v>13885</v>
      </c>
      <c r="AM980" t="s">
        <v>13886</v>
      </c>
      <c r="AN980" t="s">
        <v>13887</v>
      </c>
      <c r="AO980" t="s">
        <v>13888</v>
      </c>
      <c r="AP980" t="s">
        <v>13889</v>
      </c>
      <c r="AQ980" t="s">
        <v>74</v>
      </c>
      <c r="AR980" t="s">
        <v>13890</v>
      </c>
      <c r="AS980" t="s">
        <v>13891</v>
      </c>
      <c r="AT980" t="s">
        <v>74</v>
      </c>
      <c r="AU980">
        <v>2005</v>
      </c>
      <c r="AV980">
        <v>11</v>
      </c>
      <c r="AW980" t="s">
        <v>4012</v>
      </c>
      <c r="AX980" t="s">
        <v>74</v>
      </c>
      <c r="AY980" t="s">
        <v>74</v>
      </c>
      <c r="AZ980" t="s">
        <v>74</v>
      </c>
      <c r="BA980" t="s">
        <v>74</v>
      </c>
      <c r="BB980">
        <v>5</v>
      </c>
      <c r="BC980">
        <v>11</v>
      </c>
      <c r="BD980" t="s">
        <v>74</v>
      </c>
      <c r="BE980" t="s">
        <v>74</v>
      </c>
      <c r="BF980" t="s">
        <v>74</v>
      </c>
      <c r="BG980" t="s">
        <v>74</v>
      </c>
      <c r="BH980" t="s">
        <v>74</v>
      </c>
      <c r="BI980">
        <v>7</v>
      </c>
      <c r="BJ980" t="s">
        <v>853</v>
      </c>
      <c r="BK980" t="s">
        <v>3249</v>
      </c>
      <c r="BL980" t="s">
        <v>853</v>
      </c>
      <c r="BM980" t="s">
        <v>13892</v>
      </c>
      <c r="BN980" t="s">
        <v>74</v>
      </c>
      <c r="BO980" t="s">
        <v>74</v>
      </c>
      <c r="BP980" t="s">
        <v>74</v>
      </c>
      <c r="BQ980" t="s">
        <v>74</v>
      </c>
      <c r="BR980" t="s">
        <v>97</v>
      </c>
      <c r="BS980" t="s">
        <v>13893</v>
      </c>
      <c r="BT980" t="str">
        <f>HYPERLINK("https%3A%2F%2Fwww.webofscience.com%2Fwos%2Fwoscc%2Ffull-record%2FWOS:000445350000002","View Full Record in Web of Science")</f>
        <v>View Full Record in Web of Science</v>
      </c>
    </row>
    <row r="981" spans="1:72" x14ac:dyDescent="0.15">
      <c r="A981" t="s">
        <v>1269</v>
      </c>
      <c r="B981" t="s">
        <v>13894</v>
      </c>
      <c r="C981" t="s">
        <v>74</v>
      </c>
      <c r="D981" t="s">
        <v>13895</v>
      </c>
      <c r="E981" t="s">
        <v>74</v>
      </c>
      <c r="F981" t="s">
        <v>13894</v>
      </c>
      <c r="G981" t="s">
        <v>74</v>
      </c>
      <c r="H981" t="s">
        <v>74</v>
      </c>
      <c r="I981" t="s">
        <v>13896</v>
      </c>
      <c r="J981" t="s">
        <v>8586</v>
      </c>
      <c r="K981" t="s">
        <v>9684</v>
      </c>
      <c r="L981" t="s">
        <v>74</v>
      </c>
      <c r="M981" t="s">
        <v>77</v>
      </c>
      <c r="N981" t="s">
        <v>78</v>
      </c>
      <c r="O981" t="s">
        <v>74</v>
      </c>
      <c r="P981" t="s">
        <v>74</v>
      </c>
      <c r="Q981" t="s">
        <v>74</v>
      </c>
      <c r="R981" t="s">
        <v>74</v>
      </c>
      <c r="S981" t="s">
        <v>74</v>
      </c>
      <c r="T981" t="s">
        <v>13897</v>
      </c>
      <c r="U981" t="s">
        <v>74</v>
      </c>
      <c r="V981" t="s">
        <v>13898</v>
      </c>
      <c r="W981" t="s">
        <v>13899</v>
      </c>
      <c r="X981" t="s">
        <v>13900</v>
      </c>
      <c r="Y981" t="s">
        <v>13901</v>
      </c>
      <c r="Z981" t="s">
        <v>13902</v>
      </c>
      <c r="AA981" t="s">
        <v>13903</v>
      </c>
      <c r="AB981" t="s">
        <v>13904</v>
      </c>
      <c r="AC981" t="s">
        <v>74</v>
      </c>
      <c r="AD981" t="s">
        <v>74</v>
      </c>
      <c r="AE981" t="s">
        <v>74</v>
      </c>
      <c r="AF981" t="s">
        <v>74</v>
      </c>
      <c r="AG981">
        <v>8</v>
      </c>
      <c r="AH981">
        <v>10</v>
      </c>
      <c r="AI981">
        <v>10</v>
      </c>
      <c r="AJ981">
        <v>1</v>
      </c>
      <c r="AK981">
        <v>2</v>
      </c>
      <c r="AL981" t="s">
        <v>9696</v>
      </c>
      <c r="AM981" t="s">
        <v>256</v>
      </c>
      <c r="AN981" t="s">
        <v>9697</v>
      </c>
      <c r="AO981" t="s">
        <v>9698</v>
      </c>
      <c r="AP981" t="s">
        <v>74</v>
      </c>
      <c r="AQ981" t="s">
        <v>74</v>
      </c>
      <c r="AR981" t="s">
        <v>9699</v>
      </c>
      <c r="AS981" t="s">
        <v>74</v>
      </c>
      <c r="AT981" t="s">
        <v>74</v>
      </c>
      <c r="AU981">
        <v>2005</v>
      </c>
      <c r="AV981">
        <v>36</v>
      </c>
      <c r="AW981">
        <v>12</v>
      </c>
      <c r="AX981" t="s">
        <v>74</v>
      </c>
      <c r="AY981" t="s">
        <v>74</v>
      </c>
      <c r="AZ981">
        <v>2005</v>
      </c>
      <c r="BA981" t="s">
        <v>74</v>
      </c>
      <c r="BB981">
        <v>2357</v>
      </c>
      <c r="BC981">
        <v>2362</v>
      </c>
      <c r="BD981" t="s">
        <v>74</v>
      </c>
      <c r="BE981" t="s">
        <v>13905</v>
      </c>
      <c r="BF981" t="str">
        <f>HYPERLINK("http://dx.doi.org/10.1016/j.asr.2003.05.064","http://dx.doi.org/10.1016/j.asr.2003.05.064")</f>
        <v>http://dx.doi.org/10.1016/j.asr.2003.05.064</v>
      </c>
      <c r="BG981" t="s">
        <v>74</v>
      </c>
      <c r="BH981" t="s">
        <v>74</v>
      </c>
      <c r="BI981">
        <v>6</v>
      </c>
      <c r="BJ981" t="s">
        <v>10984</v>
      </c>
      <c r="BK981" t="s">
        <v>95</v>
      </c>
      <c r="BL981" t="s">
        <v>10985</v>
      </c>
      <c r="BM981" t="s">
        <v>13906</v>
      </c>
      <c r="BN981" t="s">
        <v>74</v>
      </c>
      <c r="BO981" t="s">
        <v>74</v>
      </c>
      <c r="BP981" t="s">
        <v>74</v>
      </c>
      <c r="BQ981" t="s">
        <v>74</v>
      </c>
      <c r="BR981" t="s">
        <v>97</v>
      </c>
      <c r="BS981" t="s">
        <v>13907</v>
      </c>
      <c r="BT981" t="str">
        <f>HYPERLINK("https%3A%2F%2Fwww.webofscience.com%2Fwos%2Fwoscc%2Ffull-record%2FWOS:000235183100020","View Full Record in Web of Science")</f>
        <v>View Full Record in Web of Science</v>
      </c>
    </row>
    <row r="982" spans="1:72" x14ac:dyDescent="0.15">
      <c r="A982" t="s">
        <v>1269</v>
      </c>
      <c r="B982" t="s">
        <v>13908</v>
      </c>
      <c r="C982" t="s">
        <v>74</v>
      </c>
      <c r="D982" t="s">
        <v>13895</v>
      </c>
      <c r="E982" t="s">
        <v>74</v>
      </c>
      <c r="F982" t="s">
        <v>13908</v>
      </c>
      <c r="G982" t="s">
        <v>74</v>
      </c>
      <c r="H982" t="s">
        <v>74</v>
      </c>
      <c r="I982" t="s">
        <v>13909</v>
      </c>
      <c r="J982" t="s">
        <v>8586</v>
      </c>
      <c r="K982" t="s">
        <v>9684</v>
      </c>
      <c r="L982" t="s">
        <v>74</v>
      </c>
      <c r="M982" t="s">
        <v>77</v>
      </c>
      <c r="N982" t="s">
        <v>78</v>
      </c>
      <c r="O982" t="s">
        <v>74</v>
      </c>
      <c r="P982" t="s">
        <v>74</v>
      </c>
      <c r="Q982" t="s">
        <v>74</v>
      </c>
      <c r="R982" t="s">
        <v>74</v>
      </c>
      <c r="S982" t="s">
        <v>74</v>
      </c>
      <c r="T982" t="s">
        <v>13910</v>
      </c>
      <c r="U982" t="s">
        <v>13911</v>
      </c>
      <c r="V982" t="s">
        <v>13912</v>
      </c>
      <c r="W982" t="s">
        <v>13913</v>
      </c>
      <c r="X982" t="s">
        <v>13914</v>
      </c>
      <c r="Y982" t="s">
        <v>13915</v>
      </c>
      <c r="Z982" t="s">
        <v>13916</v>
      </c>
      <c r="AA982" t="s">
        <v>13917</v>
      </c>
      <c r="AB982" t="s">
        <v>13918</v>
      </c>
      <c r="AC982" t="s">
        <v>74</v>
      </c>
      <c r="AD982" t="s">
        <v>74</v>
      </c>
      <c r="AE982" t="s">
        <v>74</v>
      </c>
      <c r="AF982" t="s">
        <v>74</v>
      </c>
      <c r="AG982">
        <v>24</v>
      </c>
      <c r="AH982">
        <v>5</v>
      </c>
      <c r="AI982">
        <v>5</v>
      </c>
      <c r="AJ982">
        <v>1</v>
      </c>
      <c r="AK982">
        <v>4</v>
      </c>
      <c r="AL982" t="s">
        <v>9696</v>
      </c>
      <c r="AM982" t="s">
        <v>256</v>
      </c>
      <c r="AN982" t="s">
        <v>9697</v>
      </c>
      <c r="AO982" t="s">
        <v>9698</v>
      </c>
      <c r="AP982" t="s">
        <v>74</v>
      </c>
      <c r="AQ982" t="s">
        <v>74</v>
      </c>
      <c r="AR982" t="s">
        <v>9699</v>
      </c>
      <c r="AS982" t="s">
        <v>74</v>
      </c>
      <c r="AT982" t="s">
        <v>74</v>
      </c>
      <c r="AU982">
        <v>2005</v>
      </c>
      <c r="AV982">
        <v>36</v>
      </c>
      <c r="AW982">
        <v>12</v>
      </c>
      <c r="AX982" t="s">
        <v>74</v>
      </c>
      <c r="AY982" t="s">
        <v>74</v>
      </c>
      <c r="AZ982">
        <v>2005</v>
      </c>
      <c r="BA982" t="s">
        <v>74</v>
      </c>
      <c r="BB982">
        <v>2423</v>
      </c>
      <c r="BC982">
        <v>2427</v>
      </c>
      <c r="BD982" t="s">
        <v>74</v>
      </c>
      <c r="BE982" t="s">
        <v>13919</v>
      </c>
      <c r="BF982" t="str">
        <f>HYPERLINK("http://dx.doi.org/10.1016/j.asr.2003.10.056","http://dx.doi.org/10.1016/j.asr.2003.10.056")</f>
        <v>http://dx.doi.org/10.1016/j.asr.2003.10.056</v>
      </c>
      <c r="BG982" t="s">
        <v>74</v>
      </c>
      <c r="BH982" t="s">
        <v>74</v>
      </c>
      <c r="BI982">
        <v>5</v>
      </c>
      <c r="BJ982" t="s">
        <v>10984</v>
      </c>
      <c r="BK982" t="s">
        <v>95</v>
      </c>
      <c r="BL982" t="s">
        <v>10985</v>
      </c>
      <c r="BM982" t="s">
        <v>13906</v>
      </c>
      <c r="BN982" t="s">
        <v>74</v>
      </c>
      <c r="BO982" t="s">
        <v>74</v>
      </c>
      <c r="BP982" t="s">
        <v>74</v>
      </c>
      <c r="BQ982" t="s">
        <v>74</v>
      </c>
      <c r="BR982" t="s">
        <v>97</v>
      </c>
      <c r="BS982" t="s">
        <v>13920</v>
      </c>
      <c r="BT982" t="str">
        <f>HYPERLINK("https%3A%2F%2Fwww.webofscience.com%2Fwos%2Fwoscc%2Ffull-record%2FWOS:000235183100032","View Full Record in Web of Science")</f>
        <v>View Full Record in Web of Science</v>
      </c>
    </row>
    <row r="983" spans="1:72" x14ac:dyDescent="0.15">
      <c r="A983" t="s">
        <v>1269</v>
      </c>
      <c r="B983" t="s">
        <v>13921</v>
      </c>
      <c r="C983" t="s">
        <v>74</v>
      </c>
      <c r="D983" t="s">
        <v>13895</v>
      </c>
      <c r="E983" t="s">
        <v>74</v>
      </c>
      <c r="F983" t="s">
        <v>13921</v>
      </c>
      <c r="G983" t="s">
        <v>74</v>
      </c>
      <c r="H983" t="s">
        <v>74</v>
      </c>
      <c r="I983" t="s">
        <v>13922</v>
      </c>
      <c r="J983" t="s">
        <v>8586</v>
      </c>
      <c r="K983" t="s">
        <v>9684</v>
      </c>
      <c r="L983" t="s">
        <v>74</v>
      </c>
      <c r="M983" t="s">
        <v>77</v>
      </c>
      <c r="N983" t="s">
        <v>78</v>
      </c>
      <c r="O983" t="s">
        <v>74</v>
      </c>
      <c r="P983" t="s">
        <v>74</v>
      </c>
      <c r="Q983" t="s">
        <v>74</v>
      </c>
      <c r="R983" t="s">
        <v>74</v>
      </c>
      <c r="S983" t="s">
        <v>74</v>
      </c>
      <c r="T983" t="s">
        <v>13923</v>
      </c>
      <c r="U983" t="s">
        <v>13924</v>
      </c>
      <c r="V983" t="s">
        <v>13925</v>
      </c>
      <c r="W983" t="s">
        <v>13926</v>
      </c>
      <c r="X983" t="s">
        <v>13927</v>
      </c>
      <c r="Y983" t="s">
        <v>13928</v>
      </c>
      <c r="Z983" t="s">
        <v>13916</v>
      </c>
      <c r="AA983" t="s">
        <v>13929</v>
      </c>
      <c r="AB983" t="s">
        <v>13930</v>
      </c>
      <c r="AC983" t="s">
        <v>74</v>
      </c>
      <c r="AD983" t="s">
        <v>74</v>
      </c>
      <c r="AE983" t="s">
        <v>74</v>
      </c>
      <c r="AF983" t="s">
        <v>74</v>
      </c>
      <c r="AG983">
        <v>21</v>
      </c>
      <c r="AH983">
        <v>3</v>
      </c>
      <c r="AI983">
        <v>5</v>
      </c>
      <c r="AJ983">
        <v>0</v>
      </c>
      <c r="AK983">
        <v>2</v>
      </c>
      <c r="AL983" t="s">
        <v>9696</v>
      </c>
      <c r="AM983" t="s">
        <v>256</v>
      </c>
      <c r="AN983" t="s">
        <v>9697</v>
      </c>
      <c r="AO983" t="s">
        <v>9698</v>
      </c>
      <c r="AP983" t="s">
        <v>74</v>
      </c>
      <c r="AQ983" t="s">
        <v>74</v>
      </c>
      <c r="AR983" t="s">
        <v>9699</v>
      </c>
      <c r="AS983" t="s">
        <v>74</v>
      </c>
      <c r="AT983" t="s">
        <v>74</v>
      </c>
      <c r="AU983">
        <v>2005</v>
      </c>
      <c r="AV983">
        <v>36</v>
      </c>
      <c r="AW983">
        <v>12</v>
      </c>
      <c r="AX983" t="s">
        <v>74</v>
      </c>
      <c r="AY983" t="s">
        <v>74</v>
      </c>
      <c r="AZ983">
        <v>2005</v>
      </c>
      <c r="BA983" t="s">
        <v>74</v>
      </c>
      <c r="BB983">
        <v>2451</v>
      </c>
      <c r="BC983">
        <v>2454</v>
      </c>
      <c r="BD983" t="s">
        <v>74</v>
      </c>
      <c r="BE983" t="s">
        <v>13931</v>
      </c>
      <c r="BF983" t="str">
        <f>HYPERLINK("http://dx.doi.org/10.1016/j.asr.2003.09.073","http://dx.doi.org/10.1016/j.asr.2003.09.073")</f>
        <v>http://dx.doi.org/10.1016/j.asr.2003.09.073</v>
      </c>
      <c r="BG983" t="s">
        <v>74</v>
      </c>
      <c r="BH983" t="s">
        <v>74</v>
      </c>
      <c r="BI983">
        <v>4</v>
      </c>
      <c r="BJ983" t="s">
        <v>10984</v>
      </c>
      <c r="BK983" t="s">
        <v>95</v>
      </c>
      <c r="BL983" t="s">
        <v>10985</v>
      </c>
      <c r="BM983" t="s">
        <v>13906</v>
      </c>
      <c r="BN983" t="s">
        <v>74</v>
      </c>
      <c r="BO983" t="s">
        <v>74</v>
      </c>
      <c r="BP983" t="s">
        <v>74</v>
      </c>
      <c r="BQ983" t="s">
        <v>74</v>
      </c>
      <c r="BR983" t="s">
        <v>97</v>
      </c>
      <c r="BS983" t="s">
        <v>13932</v>
      </c>
      <c r="BT983" t="str">
        <f>HYPERLINK("https%3A%2F%2Fwww.webofscience.com%2Fwos%2Fwoscc%2Ffull-record%2FWOS:000235183100037","View Full Record in Web of Science")</f>
        <v>View Full Record in Web of Science</v>
      </c>
    </row>
    <row r="984" spans="1:72" x14ac:dyDescent="0.15">
      <c r="A984" t="s">
        <v>8867</v>
      </c>
      <c r="B984" t="s">
        <v>13933</v>
      </c>
      <c r="C984" t="s">
        <v>74</v>
      </c>
      <c r="D984" t="s">
        <v>13934</v>
      </c>
      <c r="E984" t="s">
        <v>74</v>
      </c>
      <c r="F984" t="s">
        <v>13933</v>
      </c>
      <c r="G984" t="s">
        <v>74</v>
      </c>
      <c r="H984" t="s">
        <v>74</v>
      </c>
      <c r="I984" t="s">
        <v>13935</v>
      </c>
      <c r="J984" t="s">
        <v>13936</v>
      </c>
      <c r="K984" t="s">
        <v>13937</v>
      </c>
      <c r="L984" t="s">
        <v>74</v>
      </c>
      <c r="M984" t="s">
        <v>77</v>
      </c>
      <c r="N984" t="s">
        <v>8873</v>
      </c>
      <c r="O984" t="s">
        <v>13938</v>
      </c>
      <c r="P984" t="s">
        <v>13939</v>
      </c>
      <c r="Q984" t="s">
        <v>13940</v>
      </c>
      <c r="R984" t="s">
        <v>74</v>
      </c>
      <c r="S984" t="s">
        <v>74</v>
      </c>
      <c r="T984" t="s">
        <v>74</v>
      </c>
      <c r="U984" t="s">
        <v>74</v>
      </c>
      <c r="V984" t="s">
        <v>13941</v>
      </c>
      <c r="W984" t="s">
        <v>13942</v>
      </c>
      <c r="X984" t="s">
        <v>1020</v>
      </c>
      <c r="Y984" t="s">
        <v>13943</v>
      </c>
      <c r="Z984" t="s">
        <v>74</v>
      </c>
      <c r="AA984" t="s">
        <v>74</v>
      </c>
      <c r="AB984" t="s">
        <v>74</v>
      </c>
      <c r="AC984" t="s">
        <v>74</v>
      </c>
      <c r="AD984" t="s">
        <v>74</v>
      </c>
      <c r="AE984" t="s">
        <v>74</v>
      </c>
      <c r="AF984" t="s">
        <v>74</v>
      </c>
      <c r="AG984">
        <v>4</v>
      </c>
      <c r="AH984">
        <v>0</v>
      </c>
      <c r="AI984">
        <v>0</v>
      </c>
      <c r="AJ984">
        <v>0</v>
      </c>
      <c r="AK984">
        <v>1</v>
      </c>
      <c r="AL984" t="s">
        <v>13944</v>
      </c>
      <c r="AM984" t="s">
        <v>1650</v>
      </c>
      <c r="AN984" t="s">
        <v>13945</v>
      </c>
      <c r="AO984" t="s">
        <v>13946</v>
      </c>
      <c r="AP984" t="s">
        <v>74</v>
      </c>
      <c r="AQ984" t="s">
        <v>13947</v>
      </c>
      <c r="AR984" t="s">
        <v>13948</v>
      </c>
      <c r="AS984" t="s">
        <v>74</v>
      </c>
      <c r="AT984" t="s">
        <v>74</v>
      </c>
      <c r="AU984">
        <v>2005</v>
      </c>
      <c r="AV984">
        <v>120</v>
      </c>
      <c r="AW984" t="s">
        <v>74</v>
      </c>
      <c r="AX984" t="s">
        <v>442</v>
      </c>
      <c r="AY984" t="s">
        <v>74</v>
      </c>
      <c r="AZ984" t="s">
        <v>74</v>
      </c>
      <c r="BA984" t="s">
        <v>74</v>
      </c>
      <c r="BB984">
        <v>117</v>
      </c>
      <c r="BC984">
        <v>131</v>
      </c>
      <c r="BD984" t="s">
        <v>74</v>
      </c>
      <c r="BE984" t="s">
        <v>74</v>
      </c>
      <c r="BF984" t="s">
        <v>74</v>
      </c>
      <c r="BG984" t="s">
        <v>74</v>
      </c>
      <c r="BH984" t="s">
        <v>74</v>
      </c>
      <c r="BI984">
        <v>15</v>
      </c>
      <c r="BJ984" t="s">
        <v>2829</v>
      </c>
      <c r="BK984" t="s">
        <v>8890</v>
      </c>
      <c r="BL984" t="s">
        <v>551</v>
      </c>
      <c r="BM984" t="s">
        <v>13949</v>
      </c>
      <c r="BN984" t="s">
        <v>74</v>
      </c>
      <c r="BO984" t="s">
        <v>74</v>
      </c>
      <c r="BP984" t="s">
        <v>74</v>
      </c>
      <c r="BQ984" t="s">
        <v>74</v>
      </c>
      <c r="BR984" t="s">
        <v>97</v>
      </c>
      <c r="BS984" t="s">
        <v>13950</v>
      </c>
      <c r="BT984" t="str">
        <f>HYPERLINK("https%3A%2F%2Fwww.webofscience.com%2Fwos%2Fwoscc%2Ffull-record%2FWOS:000231281700008","View Full Record in Web of Science")</f>
        <v>View Full Record in Web of Science</v>
      </c>
    </row>
    <row r="985" spans="1:72" x14ac:dyDescent="0.15">
      <c r="A985" t="s">
        <v>72</v>
      </c>
      <c r="B985" t="s">
        <v>13951</v>
      </c>
      <c r="C985" t="s">
        <v>74</v>
      </c>
      <c r="D985" t="s">
        <v>74</v>
      </c>
      <c r="E985" t="s">
        <v>74</v>
      </c>
      <c r="F985" t="s">
        <v>13951</v>
      </c>
      <c r="G985" t="s">
        <v>74</v>
      </c>
      <c r="H985" t="s">
        <v>74</v>
      </c>
      <c r="I985" t="s">
        <v>13952</v>
      </c>
      <c r="J985" t="s">
        <v>13953</v>
      </c>
      <c r="K985" t="s">
        <v>74</v>
      </c>
      <c r="L985" t="s">
        <v>74</v>
      </c>
      <c r="M985" t="s">
        <v>77</v>
      </c>
      <c r="N985" t="s">
        <v>78</v>
      </c>
      <c r="O985" t="s">
        <v>74</v>
      </c>
      <c r="P985" t="s">
        <v>74</v>
      </c>
      <c r="Q985" t="s">
        <v>74</v>
      </c>
      <c r="R985" t="s">
        <v>74</v>
      </c>
      <c r="S985" t="s">
        <v>74</v>
      </c>
      <c r="T985" t="s">
        <v>13954</v>
      </c>
      <c r="U985" t="s">
        <v>13955</v>
      </c>
      <c r="V985" t="s">
        <v>13956</v>
      </c>
      <c r="W985" t="s">
        <v>13957</v>
      </c>
      <c r="X985" t="s">
        <v>13958</v>
      </c>
      <c r="Y985" t="s">
        <v>13959</v>
      </c>
      <c r="Z985" t="s">
        <v>13960</v>
      </c>
      <c r="AA985" t="s">
        <v>13961</v>
      </c>
      <c r="AB985" t="s">
        <v>13962</v>
      </c>
      <c r="AC985" t="s">
        <v>74</v>
      </c>
      <c r="AD985" t="s">
        <v>74</v>
      </c>
      <c r="AE985" t="s">
        <v>74</v>
      </c>
      <c r="AF985" t="s">
        <v>74</v>
      </c>
      <c r="AG985">
        <v>99</v>
      </c>
      <c r="AH985">
        <v>221</v>
      </c>
      <c r="AI985">
        <v>244</v>
      </c>
      <c r="AJ985">
        <v>0</v>
      </c>
      <c r="AK985">
        <v>46</v>
      </c>
      <c r="AL985" t="s">
        <v>13963</v>
      </c>
      <c r="AM985" t="s">
        <v>13964</v>
      </c>
      <c r="AN985" t="s">
        <v>13965</v>
      </c>
      <c r="AO985" t="s">
        <v>13966</v>
      </c>
      <c r="AP985" t="s">
        <v>13967</v>
      </c>
      <c r="AQ985" t="s">
        <v>74</v>
      </c>
      <c r="AR985" t="s">
        <v>13968</v>
      </c>
      <c r="AS985" t="s">
        <v>13969</v>
      </c>
      <c r="AT985" t="s">
        <v>74</v>
      </c>
      <c r="AU985">
        <v>2005</v>
      </c>
      <c r="AV985" t="s">
        <v>74</v>
      </c>
      <c r="AW985">
        <v>51</v>
      </c>
      <c r="AX985" t="s">
        <v>74</v>
      </c>
      <c r="AY985" t="s">
        <v>74</v>
      </c>
      <c r="AZ985" t="s">
        <v>74</v>
      </c>
      <c r="BA985" t="s">
        <v>74</v>
      </c>
      <c r="BB985">
        <v>1</v>
      </c>
      <c r="BC985">
        <v>32</v>
      </c>
      <c r="BD985" t="s">
        <v>74</v>
      </c>
      <c r="BE985" t="s">
        <v>74</v>
      </c>
      <c r="BF985" t="s">
        <v>74</v>
      </c>
      <c r="BG985" t="s">
        <v>74</v>
      </c>
      <c r="BH985" t="s">
        <v>74</v>
      </c>
      <c r="BI985">
        <v>32</v>
      </c>
      <c r="BJ985" t="s">
        <v>4981</v>
      </c>
      <c r="BK985" t="s">
        <v>95</v>
      </c>
      <c r="BL985" t="s">
        <v>4981</v>
      </c>
      <c r="BM985" t="s">
        <v>13970</v>
      </c>
      <c r="BN985" t="s">
        <v>74</v>
      </c>
      <c r="BO985" t="s">
        <v>74</v>
      </c>
      <c r="BP985" t="s">
        <v>74</v>
      </c>
      <c r="BQ985" t="s">
        <v>74</v>
      </c>
      <c r="BR985" t="s">
        <v>97</v>
      </c>
      <c r="BS985" t="s">
        <v>13971</v>
      </c>
      <c r="BT985" t="str">
        <f>HYPERLINK("https%3A%2F%2Fwww.webofscience.com%2Fwos%2Fwoscc%2Ffull-record%2FWOS:000230869100002","View Full Record in Web of Science")</f>
        <v>View Full Record in Web of Science</v>
      </c>
    </row>
    <row r="986" spans="1:72" x14ac:dyDescent="0.15">
      <c r="A986" t="s">
        <v>72</v>
      </c>
      <c r="B986" t="s">
        <v>13972</v>
      </c>
      <c r="C986" t="s">
        <v>74</v>
      </c>
      <c r="D986" t="s">
        <v>74</v>
      </c>
      <c r="E986" t="s">
        <v>74</v>
      </c>
      <c r="F986" t="s">
        <v>13972</v>
      </c>
      <c r="G986" t="s">
        <v>74</v>
      </c>
      <c r="H986" t="s">
        <v>74</v>
      </c>
      <c r="I986" t="s">
        <v>13973</v>
      </c>
      <c r="J986" t="s">
        <v>13953</v>
      </c>
      <c r="K986" t="s">
        <v>74</v>
      </c>
      <c r="L986" t="s">
        <v>74</v>
      </c>
      <c r="M986" t="s">
        <v>77</v>
      </c>
      <c r="N986" t="s">
        <v>249</v>
      </c>
      <c r="O986" t="s">
        <v>74</v>
      </c>
      <c r="P986" t="s">
        <v>74</v>
      </c>
      <c r="Q986" t="s">
        <v>74</v>
      </c>
      <c r="R986" t="s">
        <v>74</v>
      </c>
      <c r="S986" t="s">
        <v>74</v>
      </c>
      <c r="T986" t="s">
        <v>74</v>
      </c>
      <c r="U986" t="s">
        <v>74</v>
      </c>
      <c r="V986" t="s">
        <v>74</v>
      </c>
      <c r="W986" t="s">
        <v>74</v>
      </c>
      <c r="X986" t="s">
        <v>74</v>
      </c>
      <c r="Y986" t="s">
        <v>74</v>
      </c>
      <c r="Z986" t="s">
        <v>74</v>
      </c>
      <c r="AA986" t="s">
        <v>74</v>
      </c>
      <c r="AB986" t="s">
        <v>74</v>
      </c>
      <c r="AC986" t="s">
        <v>74</v>
      </c>
      <c r="AD986" t="s">
        <v>74</v>
      </c>
      <c r="AE986" t="s">
        <v>74</v>
      </c>
      <c r="AF986" t="s">
        <v>74</v>
      </c>
      <c r="AG986">
        <v>0</v>
      </c>
      <c r="AH986">
        <v>0</v>
      </c>
      <c r="AI986">
        <v>0</v>
      </c>
      <c r="AJ986">
        <v>0</v>
      </c>
      <c r="AK986">
        <v>0</v>
      </c>
      <c r="AL986" t="s">
        <v>13963</v>
      </c>
      <c r="AM986" t="s">
        <v>13974</v>
      </c>
      <c r="AN986" t="s">
        <v>13975</v>
      </c>
      <c r="AO986" t="s">
        <v>13966</v>
      </c>
      <c r="AP986" t="s">
        <v>74</v>
      </c>
      <c r="AQ986" t="s">
        <v>74</v>
      </c>
      <c r="AR986" t="s">
        <v>13968</v>
      </c>
      <c r="AS986" t="s">
        <v>13969</v>
      </c>
      <c r="AT986" t="s">
        <v>74</v>
      </c>
      <c r="AU986">
        <v>2005</v>
      </c>
      <c r="AV986" t="s">
        <v>74</v>
      </c>
      <c r="AW986">
        <v>51</v>
      </c>
      <c r="AX986" t="s">
        <v>74</v>
      </c>
      <c r="AY986" t="s">
        <v>74</v>
      </c>
      <c r="AZ986" t="s">
        <v>74</v>
      </c>
      <c r="BA986" t="s">
        <v>74</v>
      </c>
      <c r="BB986" t="s">
        <v>13976</v>
      </c>
      <c r="BC986" t="s">
        <v>13976</v>
      </c>
      <c r="BD986" t="s">
        <v>74</v>
      </c>
      <c r="BE986" t="s">
        <v>74</v>
      </c>
      <c r="BF986" t="s">
        <v>74</v>
      </c>
      <c r="BG986" t="s">
        <v>74</v>
      </c>
      <c r="BH986" t="s">
        <v>74</v>
      </c>
      <c r="BI986">
        <v>1</v>
      </c>
      <c r="BJ986" t="s">
        <v>4981</v>
      </c>
      <c r="BK986" t="s">
        <v>95</v>
      </c>
      <c r="BL986" t="s">
        <v>4981</v>
      </c>
      <c r="BM986" t="s">
        <v>13970</v>
      </c>
      <c r="BN986" t="s">
        <v>74</v>
      </c>
      <c r="BO986" t="s">
        <v>74</v>
      </c>
      <c r="BP986" t="s">
        <v>74</v>
      </c>
      <c r="BQ986" t="s">
        <v>74</v>
      </c>
      <c r="BR986" t="s">
        <v>97</v>
      </c>
      <c r="BS986" t="s">
        <v>13977</v>
      </c>
      <c r="BT986" t="str">
        <f>HYPERLINK("https%3A%2F%2Fwww.webofscience.com%2Fwos%2Fwoscc%2Ffull-record%2FWOS:000230869100001","View Full Record in Web of Science")</f>
        <v>View Full Record in Web of Science</v>
      </c>
    </row>
    <row r="987" spans="1:72" x14ac:dyDescent="0.15">
      <c r="A987" t="s">
        <v>72</v>
      </c>
      <c r="B987" t="s">
        <v>13978</v>
      </c>
      <c r="C987" t="s">
        <v>74</v>
      </c>
      <c r="D987" t="s">
        <v>74</v>
      </c>
      <c r="E987" t="s">
        <v>74</v>
      </c>
      <c r="F987" t="s">
        <v>13978</v>
      </c>
      <c r="G987" t="s">
        <v>74</v>
      </c>
      <c r="H987" t="s">
        <v>74</v>
      </c>
      <c r="I987" t="s">
        <v>13979</v>
      </c>
      <c r="J987" t="s">
        <v>13953</v>
      </c>
      <c r="K987" t="s">
        <v>74</v>
      </c>
      <c r="L987" t="s">
        <v>74</v>
      </c>
      <c r="M987" t="s">
        <v>77</v>
      </c>
      <c r="N987" t="s">
        <v>365</v>
      </c>
      <c r="O987" t="s">
        <v>74</v>
      </c>
      <c r="P987" t="s">
        <v>74</v>
      </c>
      <c r="Q987" t="s">
        <v>74</v>
      </c>
      <c r="R987" t="s">
        <v>74</v>
      </c>
      <c r="S987" t="s">
        <v>74</v>
      </c>
      <c r="T987" t="s">
        <v>13980</v>
      </c>
      <c r="U987" t="s">
        <v>13981</v>
      </c>
      <c r="V987" t="s">
        <v>13982</v>
      </c>
      <c r="W987" t="s">
        <v>13983</v>
      </c>
      <c r="X987" t="s">
        <v>13984</v>
      </c>
      <c r="Y987" t="s">
        <v>13985</v>
      </c>
      <c r="Z987" t="s">
        <v>13986</v>
      </c>
      <c r="AA987" t="s">
        <v>13987</v>
      </c>
      <c r="AB987" t="s">
        <v>74</v>
      </c>
      <c r="AC987" t="s">
        <v>74</v>
      </c>
      <c r="AD987" t="s">
        <v>74</v>
      </c>
      <c r="AE987" t="s">
        <v>74</v>
      </c>
      <c r="AF987" t="s">
        <v>74</v>
      </c>
      <c r="AG987">
        <v>111</v>
      </c>
      <c r="AH987">
        <v>78</v>
      </c>
      <c r="AI987">
        <v>89</v>
      </c>
      <c r="AJ987">
        <v>0</v>
      </c>
      <c r="AK987">
        <v>9</v>
      </c>
      <c r="AL987" t="s">
        <v>13963</v>
      </c>
      <c r="AM987" t="s">
        <v>13964</v>
      </c>
      <c r="AN987" t="s">
        <v>13965</v>
      </c>
      <c r="AO987" t="s">
        <v>13966</v>
      </c>
      <c r="AP987" t="s">
        <v>13967</v>
      </c>
      <c r="AQ987" t="s">
        <v>74</v>
      </c>
      <c r="AR987" t="s">
        <v>13968</v>
      </c>
      <c r="AS987" t="s">
        <v>13969</v>
      </c>
      <c r="AT987" t="s">
        <v>74</v>
      </c>
      <c r="AU987">
        <v>2005</v>
      </c>
      <c r="AV987" t="s">
        <v>74</v>
      </c>
      <c r="AW987">
        <v>51</v>
      </c>
      <c r="AX987" t="s">
        <v>74</v>
      </c>
      <c r="AY987" t="s">
        <v>74</v>
      </c>
      <c r="AZ987" t="s">
        <v>74</v>
      </c>
      <c r="BA987" t="s">
        <v>74</v>
      </c>
      <c r="BB987">
        <v>33</v>
      </c>
      <c r="BC987">
        <v>76</v>
      </c>
      <c r="BD987" t="s">
        <v>74</v>
      </c>
      <c r="BE987" t="s">
        <v>74</v>
      </c>
      <c r="BF987" t="s">
        <v>74</v>
      </c>
      <c r="BG987" t="s">
        <v>74</v>
      </c>
      <c r="BH987" t="s">
        <v>74</v>
      </c>
      <c r="BI987">
        <v>44</v>
      </c>
      <c r="BJ987" t="s">
        <v>4981</v>
      </c>
      <c r="BK987" t="s">
        <v>95</v>
      </c>
      <c r="BL987" t="s">
        <v>4981</v>
      </c>
      <c r="BM987" t="s">
        <v>13970</v>
      </c>
      <c r="BN987" t="s">
        <v>74</v>
      </c>
      <c r="BO987" t="s">
        <v>74</v>
      </c>
      <c r="BP987" t="s">
        <v>74</v>
      </c>
      <c r="BQ987" t="s">
        <v>74</v>
      </c>
      <c r="BR987" t="s">
        <v>97</v>
      </c>
      <c r="BS987" t="s">
        <v>13988</v>
      </c>
      <c r="BT987" t="str">
        <f>HYPERLINK("https%3A%2F%2Fwww.webofscience.com%2Fwos%2Fwoscc%2Ffull-record%2FWOS:000230869100003","View Full Record in Web of Science")</f>
        <v>View Full Record in Web of Science</v>
      </c>
    </row>
    <row r="988" spans="1:72" x14ac:dyDescent="0.15">
      <c r="A988" t="s">
        <v>72</v>
      </c>
      <c r="B988" t="s">
        <v>13989</v>
      </c>
      <c r="C988" t="s">
        <v>74</v>
      </c>
      <c r="D988" t="s">
        <v>74</v>
      </c>
      <c r="E988" t="s">
        <v>74</v>
      </c>
      <c r="F988" t="s">
        <v>13989</v>
      </c>
      <c r="G988" t="s">
        <v>74</v>
      </c>
      <c r="H988" t="s">
        <v>74</v>
      </c>
      <c r="I988" t="s">
        <v>13990</v>
      </c>
      <c r="J988" t="s">
        <v>13991</v>
      </c>
      <c r="K988" t="s">
        <v>74</v>
      </c>
      <c r="L988" t="s">
        <v>74</v>
      </c>
      <c r="M988" t="s">
        <v>77</v>
      </c>
      <c r="N988" t="s">
        <v>78</v>
      </c>
      <c r="O988" t="s">
        <v>74</v>
      </c>
      <c r="P988" t="s">
        <v>74</v>
      </c>
      <c r="Q988" t="s">
        <v>74</v>
      </c>
      <c r="R988" t="s">
        <v>74</v>
      </c>
      <c r="S988" t="s">
        <v>74</v>
      </c>
      <c r="T988" t="s">
        <v>74</v>
      </c>
      <c r="U988" t="s">
        <v>13992</v>
      </c>
      <c r="V988" t="s">
        <v>13993</v>
      </c>
      <c r="W988" t="s">
        <v>13994</v>
      </c>
      <c r="X988" t="s">
        <v>13995</v>
      </c>
      <c r="Y988" t="s">
        <v>13996</v>
      </c>
      <c r="Z988" t="s">
        <v>74</v>
      </c>
      <c r="AA988" t="s">
        <v>13997</v>
      </c>
      <c r="AB988" t="s">
        <v>13998</v>
      </c>
      <c r="AC988" t="s">
        <v>74</v>
      </c>
      <c r="AD988" t="s">
        <v>74</v>
      </c>
      <c r="AE988" t="s">
        <v>74</v>
      </c>
      <c r="AF988" t="s">
        <v>74</v>
      </c>
      <c r="AG988">
        <v>25</v>
      </c>
      <c r="AH988">
        <v>12</v>
      </c>
      <c r="AI988">
        <v>14</v>
      </c>
      <c r="AJ988">
        <v>0</v>
      </c>
      <c r="AK988">
        <v>11</v>
      </c>
      <c r="AL988" t="s">
        <v>133</v>
      </c>
      <c r="AM988" t="s">
        <v>374</v>
      </c>
      <c r="AN988" t="s">
        <v>375</v>
      </c>
      <c r="AO988" t="s">
        <v>13999</v>
      </c>
      <c r="AP988" t="s">
        <v>74</v>
      </c>
      <c r="AQ988" t="s">
        <v>74</v>
      </c>
      <c r="AR988" t="s">
        <v>14000</v>
      </c>
      <c r="AS988" t="s">
        <v>14001</v>
      </c>
      <c r="AT988" t="s">
        <v>9676</v>
      </c>
      <c r="AU988">
        <v>2005</v>
      </c>
      <c r="AV988">
        <v>60</v>
      </c>
      <c r="AW988">
        <v>1</v>
      </c>
      <c r="AX988" t="s">
        <v>74</v>
      </c>
      <c r="AY988" t="s">
        <v>74</v>
      </c>
      <c r="AZ988" t="s">
        <v>74</v>
      </c>
      <c r="BA988" t="s">
        <v>74</v>
      </c>
      <c r="BB988">
        <v>65</v>
      </c>
      <c r="BC988">
        <v>73</v>
      </c>
      <c r="BD988" t="s">
        <v>74</v>
      </c>
      <c r="BE988" t="s">
        <v>14002</v>
      </c>
      <c r="BF988" t="str">
        <f>HYPERLINK("http://dx.doi.org/10.1007/s11230-004-1385-6","http://dx.doi.org/10.1007/s11230-004-1385-6")</f>
        <v>http://dx.doi.org/10.1007/s11230-004-1385-6</v>
      </c>
      <c r="BG988" t="s">
        <v>74</v>
      </c>
      <c r="BH988" t="s">
        <v>74</v>
      </c>
      <c r="BI988">
        <v>9</v>
      </c>
      <c r="BJ988" t="s">
        <v>14003</v>
      </c>
      <c r="BK988" t="s">
        <v>95</v>
      </c>
      <c r="BL988" t="s">
        <v>14003</v>
      </c>
      <c r="BM988" t="s">
        <v>14004</v>
      </c>
      <c r="BN988">
        <v>15791402</v>
      </c>
      <c r="BO988" t="s">
        <v>74</v>
      </c>
      <c r="BP988" t="s">
        <v>74</v>
      </c>
      <c r="BQ988" t="s">
        <v>74</v>
      </c>
      <c r="BR988" t="s">
        <v>97</v>
      </c>
      <c r="BS988" t="s">
        <v>14005</v>
      </c>
      <c r="BT988" t="str">
        <f>HYPERLINK("https%3A%2F%2Fwww.webofscience.com%2Fwos%2Fwoscc%2Ffull-record%2FWOS:000227280000006","View Full Record in Web of Science")</f>
        <v>View Full Record in Web of Science</v>
      </c>
    </row>
    <row r="989" spans="1:72" x14ac:dyDescent="0.15">
      <c r="A989" t="s">
        <v>72</v>
      </c>
      <c r="B989" t="s">
        <v>14006</v>
      </c>
      <c r="C989" t="s">
        <v>74</v>
      </c>
      <c r="D989" t="s">
        <v>74</v>
      </c>
      <c r="E989" t="s">
        <v>74</v>
      </c>
      <c r="F989" t="s">
        <v>14006</v>
      </c>
      <c r="G989" t="s">
        <v>74</v>
      </c>
      <c r="H989" t="s">
        <v>74</v>
      </c>
      <c r="I989" t="s">
        <v>14007</v>
      </c>
      <c r="J989" t="s">
        <v>14008</v>
      </c>
      <c r="K989" t="s">
        <v>74</v>
      </c>
      <c r="L989" t="s">
        <v>74</v>
      </c>
      <c r="M989" t="s">
        <v>77</v>
      </c>
      <c r="N989" t="s">
        <v>78</v>
      </c>
      <c r="O989" t="s">
        <v>74</v>
      </c>
      <c r="P989" t="s">
        <v>74</v>
      </c>
      <c r="Q989" t="s">
        <v>74</v>
      </c>
      <c r="R989" t="s">
        <v>74</v>
      </c>
      <c r="S989" t="s">
        <v>74</v>
      </c>
      <c r="T989" t="s">
        <v>74</v>
      </c>
      <c r="U989" t="s">
        <v>14009</v>
      </c>
      <c r="V989" t="s">
        <v>14010</v>
      </c>
      <c r="W989" t="s">
        <v>14011</v>
      </c>
      <c r="X989" t="s">
        <v>14012</v>
      </c>
      <c r="Y989" t="s">
        <v>14013</v>
      </c>
      <c r="Z989" t="s">
        <v>14014</v>
      </c>
      <c r="AA989" t="s">
        <v>74</v>
      </c>
      <c r="AB989" t="s">
        <v>74</v>
      </c>
      <c r="AC989" t="s">
        <v>74</v>
      </c>
      <c r="AD989" t="s">
        <v>74</v>
      </c>
      <c r="AE989" t="s">
        <v>74</v>
      </c>
      <c r="AF989" t="s">
        <v>74</v>
      </c>
      <c r="AG989">
        <v>28</v>
      </c>
      <c r="AH989">
        <v>11</v>
      </c>
      <c r="AI989">
        <v>11</v>
      </c>
      <c r="AJ989">
        <v>0</v>
      </c>
      <c r="AK989">
        <v>2</v>
      </c>
      <c r="AL989" t="s">
        <v>14015</v>
      </c>
      <c r="AM989" t="s">
        <v>14016</v>
      </c>
      <c r="AN989" t="s">
        <v>14017</v>
      </c>
      <c r="AO989" t="s">
        <v>14018</v>
      </c>
      <c r="AP989" t="s">
        <v>14019</v>
      </c>
      <c r="AQ989" t="s">
        <v>74</v>
      </c>
      <c r="AR989" t="s">
        <v>14020</v>
      </c>
      <c r="AS989" t="s">
        <v>14021</v>
      </c>
      <c r="AT989" t="s">
        <v>9676</v>
      </c>
      <c r="AU989">
        <v>2005</v>
      </c>
      <c r="AV989">
        <v>57</v>
      </c>
      <c r="AW989">
        <v>1</v>
      </c>
      <c r="AX989" t="s">
        <v>74</v>
      </c>
      <c r="AY989" t="s">
        <v>74</v>
      </c>
      <c r="AZ989" t="s">
        <v>74</v>
      </c>
      <c r="BA989" t="s">
        <v>74</v>
      </c>
      <c r="BB989">
        <v>43</v>
      </c>
      <c r="BC989">
        <v>54</v>
      </c>
      <c r="BD989" t="s">
        <v>74</v>
      </c>
      <c r="BE989" t="s">
        <v>14022</v>
      </c>
      <c r="BF989" t="str">
        <f>HYPERLINK("http://dx.doi.org/10.1111/j.1600-0870.2005.00083.x","http://dx.doi.org/10.1111/j.1600-0870.2005.00083.x")</f>
        <v>http://dx.doi.org/10.1111/j.1600-0870.2005.00083.x</v>
      </c>
      <c r="BG989" t="s">
        <v>74</v>
      </c>
      <c r="BH989" t="s">
        <v>74</v>
      </c>
      <c r="BI989">
        <v>12</v>
      </c>
      <c r="BJ989" t="s">
        <v>3478</v>
      </c>
      <c r="BK989" t="s">
        <v>95</v>
      </c>
      <c r="BL989" t="s">
        <v>3478</v>
      </c>
      <c r="BM989" t="s">
        <v>14023</v>
      </c>
      <c r="BN989" t="s">
        <v>74</v>
      </c>
      <c r="BO989" t="s">
        <v>1776</v>
      </c>
      <c r="BP989" t="s">
        <v>74</v>
      </c>
      <c r="BQ989" t="s">
        <v>74</v>
      </c>
      <c r="BR989" t="s">
        <v>97</v>
      </c>
      <c r="BS989" t="s">
        <v>14024</v>
      </c>
      <c r="BT989" t="str">
        <f>HYPERLINK("https%3A%2F%2Fwww.webofscience.com%2Fwos%2Fwoscc%2Ffull-record%2FWOS:000226377900005","View Full Record in Web of Science")</f>
        <v>View Full Record in Web of Science</v>
      </c>
    </row>
    <row r="990" spans="1:72" x14ac:dyDescent="0.15">
      <c r="A990" t="s">
        <v>1269</v>
      </c>
      <c r="B990" t="s">
        <v>14025</v>
      </c>
      <c r="C990" t="s">
        <v>74</v>
      </c>
      <c r="D990" t="s">
        <v>14025</v>
      </c>
      <c r="E990" t="s">
        <v>74</v>
      </c>
      <c r="F990" t="s">
        <v>14026</v>
      </c>
      <c r="G990" t="s">
        <v>74</v>
      </c>
      <c r="H990" t="s">
        <v>74</v>
      </c>
      <c r="I990" t="s">
        <v>14027</v>
      </c>
      <c r="J990" t="s">
        <v>14028</v>
      </c>
      <c r="K990" t="s">
        <v>10422</v>
      </c>
      <c r="L990" t="s">
        <v>74</v>
      </c>
      <c r="M990" t="s">
        <v>77</v>
      </c>
      <c r="N990" t="s">
        <v>8991</v>
      </c>
      <c r="O990" t="s">
        <v>74</v>
      </c>
      <c r="P990" t="s">
        <v>74</v>
      </c>
      <c r="Q990" t="s">
        <v>74</v>
      </c>
      <c r="R990" t="s">
        <v>74</v>
      </c>
      <c r="S990" t="s">
        <v>74</v>
      </c>
      <c r="T990" t="s">
        <v>74</v>
      </c>
      <c r="U990" t="s">
        <v>14029</v>
      </c>
      <c r="V990" t="s">
        <v>14030</v>
      </c>
      <c r="W990" t="s">
        <v>14031</v>
      </c>
      <c r="X990" t="s">
        <v>14032</v>
      </c>
      <c r="Y990" t="s">
        <v>14033</v>
      </c>
      <c r="Z990" t="s">
        <v>14034</v>
      </c>
      <c r="AA990" t="s">
        <v>14035</v>
      </c>
      <c r="AB990" t="s">
        <v>74</v>
      </c>
      <c r="AC990" t="s">
        <v>74</v>
      </c>
      <c r="AD990" t="s">
        <v>74</v>
      </c>
      <c r="AE990" t="s">
        <v>74</v>
      </c>
      <c r="AF990" t="s">
        <v>74</v>
      </c>
      <c r="AG990">
        <v>260</v>
      </c>
      <c r="AH990">
        <v>28</v>
      </c>
      <c r="AI990">
        <v>30</v>
      </c>
      <c r="AJ990">
        <v>0</v>
      </c>
      <c r="AK990">
        <v>1</v>
      </c>
      <c r="AL990" t="s">
        <v>10433</v>
      </c>
      <c r="AM990" t="s">
        <v>3586</v>
      </c>
      <c r="AN990" t="s">
        <v>10434</v>
      </c>
      <c r="AO990" t="s">
        <v>10435</v>
      </c>
      <c r="AP990" t="s">
        <v>74</v>
      </c>
      <c r="AQ990" t="s">
        <v>14036</v>
      </c>
      <c r="AR990" t="s">
        <v>10437</v>
      </c>
      <c r="AS990" t="s">
        <v>10438</v>
      </c>
      <c r="AT990" t="s">
        <v>74</v>
      </c>
      <c r="AU990">
        <v>2005</v>
      </c>
      <c r="AV990">
        <v>246</v>
      </c>
      <c r="AW990" t="s">
        <v>74</v>
      </c>
      <c r="AX990" t="s">
        <v>74</v>
      </c>
      <c r="AY990" t="s">
        <v>74</v>
      </c>
      <c r="AZ990" t="s">
        <v>74</v>
      </c>
      <c r="BA990" t="s">
        <v>74</v>
      </c>
      <c r="BB990">
        <v>1</v>
      </c>
      <c r="BC990">
        <v>21</v>
      </c>
      <c r="BD990" t="s">
        <v>74</v>
      </c>
      <c r="BE990" t="s">
        <v>14037</v>
      </c>
      <c r="BF990" t="str">
        <f>HYPERLINK("http://dx.doi.org/10.1144/GSL.SP.2005.246.01.01","http://dx.doi.org/10.1144/GSL.SP.2005.246.01.01")</f>
        <v>http://dx.doi.org/10.1144/GSL.SP.2005.246.01.01</v>
      </c>
      <c r="BG990" t="s">
        <v>74</v>
      </c>
      <c r="BH990" t="s">
        <v>74</v>
      </c>
      <c r="BI990">
        <v>21</v>
      </c>
      <c r="BJ990" t="s">
        <v>307</v>
      </c>
      <c r="BK990" t="s">
        <v>9004</v>
      </c>
      <c r="BL990" t="s">
        <v>307</v>
      </c>
      <c r="BM990" t="s">
        <v>14038</v>
      </c>
      <c r="BN990" t="s">
        <v>74</v>
      </c>
      <c r="BO990" t="s">
        <v>143</v>
      </c>
      <c r="BP990" t="s">
        <v>74</v>
      </c>
      <c r="BQ990" t="s">
        <v>74</v>
      </c>
      <c r="BR990" t="s">
        <v>97</v>
      </c>
      <c r="BS990" t="s">
        <v>14039</v>
      </c>
      <c r="BT990" t="str">
        <f>HYPERLINK("https%3A%2F%2Fwww.webofscience.com%2Fwos%2Fwoscc%2Ffull-record%2FWOS:000284585800001","View Full Record in Web of Science")</f>
        <v>View Full Record in Web of Science</v>
      </c>
    </row>
    <row r="991" spans="1:72" x14ac:dyDescent="0.15">
      <c r="A991" t="s">
        <v>1269</v>
      </c>
      <c r="B991" t="s">
        <v>14040</v>
      </c>
      <c r="C991" t="s">
        <v>74</v>
      </c>
      <c r="D991" t="s">
        <v>14025</v>
      </c>
      <c r="E991" t="s">
        <v>74</v>
      </c>
      <c r="F991" t="s">
        <v>14041</v>
      </c>
      <c r="G991" t="s">
        <v>74</v>
      </c>
      <c r="H991" t="s">
        <v>74</v>
      </c>
      <c r="I991" t="s">
        <v>14042</v>
      </c>
      <c r="J991" t="s">
        <v>14028</v>
      </c>
      <c r="K991" t="s">
        <v>10422</v>
      </c>
      <c r="L991" t="s">
        <v>74</v>
      </c>
      <c r="M991" t="s">
        <v>77</v>
      </c>
      <c r="N991" t="s">
        <v>8991</v>
      </c>
      <c r="O991" t="s">
        <v>74</v>
      </c>
      <c r="P991" t="s">
        <v>74</v>
      </c>
      <c r="Q991" t="s">
        <v>74</v>
      </c>
      <c r="R991" t="s">
        <v>74</v>
      </c>
      <c r="S991" t="s">
        <v>74</v>
      </c>
      <c r="T991" t="s">
        <v>74</v>
      </c>
      <c r="U991" t="s">
        <v>14043</v>
      </c>
      <c r="V991" t="s">
        <v>14044</v>
      </c>
      <c r="W991" t="s">
        <v>14045</v>
      </c>
      <c r="X991" t="s">
        <v>14046</v>
      </c>
      <c r="Y991" t="s">
        <v>14047</v>
      </c>
      <c r="Z991" t="s">
        <v>14048</v>
      </c>
      <c r="AA991" t="s">
        <v>14049</v>
      </c>
      <c r="AB991" t="s">
        <v>74</v>
      </c>
      <c r="AC991" t="s">
        <v>74</v>
      </c>
      <c r="AD991" t="s">
        <v>74</v>
      </c>
      <c r="AE991" t="s">
        <v>74</v>
      </c>
      <c r="AF991" t="s">
        <v>74</v>
      </c>
      <c r="AG991">
        <v>121</v>
      </c>
      <c r="AH991">
        <v>42</v>
      </c>
      <c r="AI991">
        <v>43</v>
      </c>
      <c r="AJ991">
        <v>0</v>
      </c>
      <c r="AK991">
        <v>2</v>
      </c>
      <c r="AL991" t="s">
        <v>10433</v>
      </c>
      <c r="AM991" t="s">
        <v>3586</v>
      </c>
      <c r="AN991" t="s">
        <v>10434</v>
      </c>
      <c r="AO991" t="s">
        <v>10435</v>
      </c>
      <c r="AP991" t="s">
        <v>74</v>
      </c>
      <c r="AQ991" t="s">
        <v>14036</v>
      </c>
      <c r="AR991" t="s">
        <v>10437</v>
      </c>
      <c r="AS991" t="s">
        <v>10438</v>
      </c>
      <c r="AT991" t="s">
        <v>74</v>
      </c>
      <c r="AU991">
        <v>2005</v>
      </c>
      <c r="AV991">
        <v>246</v>
      </c>
      <c r="AW991" t="s">
        <v>74</v>
      </c>
      <c r="AX991" t="s">
        <v>74</v>
      </c>
      <c r="AY991" t="s">
        <v>74</v>
      </c>
      <c r="AZ991" t="s">
        <v>74</v>
      </c>
      <c r="BA991" t="s">
        <v>74</v>
      </c>
      <c r="BB991">
        <v>113</v>
      </c>
      <c r="BC991">
        <v>141</v>
      </c>
      <c r="BD991" t="s">
        <v>74</v>
      </c>
      <c r="BE991" t="s">
        <v>14050</v>
      </c>
      <c r="BF991" t="str">
        <f>HYPERLINK("http://dx.doi.org/10.1144/GSL.SP.2005.246.01.04","http://dx.doi.org/10.1144/GSL.SP.2005.246.01.04")</f>
        <v>http://dx.doi.org/10.1144/GSL.SP.2005.246.01.04</v>
      </c>
      <c r="BG991" t="s">
        <v>74</v>
      </c>
      <c r="BH991" t="s">
        <v>74</v>
      </c>
      <c r="BI991">
        <v>29</v>
      </c>
      <c r="BJ991" t="s">
        <v>307</v>
      </c>
      <c r="BK991" t="s">
        <v>9004</v>
      </c>
      <c r="BL991" t="s">
        <v>307</v>
      </c>
      <c r="BM991" t="s">
        <v>14038</v>
      </c>
      <c r="BN991" t="s">
        <v>74</v>
      </c>
      <c r="BO991" t="s">
        <v>74</v>
      </c>
      <c r="BP991" t="s">
        <v>74</v>
      </c>
      <c r="BQ991" t="s">
        <v>74</v>
      </c>
      <c r="BR991" t="s">
        <v>97</v>
      </c>
      <c r="BS991" t="s">
        <v>14051</v>
      </c>
      <c r="BT991" t="str">
        <f>HYPERLINK("https%3A%2F%2Fwww.webofscience.com%2Fwos%2Fwoscc%2Ffull-record%2FWOS:000284585800004","View Full Record in Web of Science")</f>
        <v>View Full Record in Web of Science</v>
      </c>
    </row>
    <row r="992" spans="1:72" x14ac:dyDescent="0.15">
      <c r="A992" t="s">
        <v>1269</v>
      </c>
      <c r="B992" t="s">
        <v>14052</v>
      </c>
      <c r="C992" t="s">
        <v>74</v>
      </c>
      <c r="D992" t="s">
        <v>14025</v>
      </c>
      <c r="E992" t="s">
        <v>74</v>
      </c>
      <c r="F992" t="s">
        <v>14053</v>
      </c>
      <c r="G992" t="s">
        <v>74</v>
      </c>
      <c r="H992" t="s">
        <v>74</v>
      </c>
      <c r="I992" t="s">
        <v>14054</v>
      </c>
      <c r="J992" t="s">
        <v>14028</v>
      </c>
      <c r="K992" t="s">
        <v>10422</v>
      </c>
      <c r="L992" t="s">
        <v>74</v>
      </c>
      <c r="M992" t="s">
        <v>77</v>
      </c>
      <c r="N992" t="s">
        <v>8991</v>
      </c>
      <c r="O992" t="s">
        <v>74</v>
      </c>
      <c r="P992" t="s">
        <v>74</v>
      </c>
      <c r="Q992" t="s">
        <v>74</v>
      </c>
      <c r="R992" t="s">
        <v>74</v>
      </c>
      <c r="S992" t="s">
        <v>74</v>
      </c>
      <c r="T992" t="s">
        <v>74</v>
      </c>
      <c r="U992" t="s">
        <v>14055</v>
      </c>
      <c r="V992" t="s">
        <v>14056</v>
      </c>
      <c r="W992" t="s">
        <v>14057</v>
      </c>
      <c r="X992" t="s">
        <v>671</v>
      </c>
      <c r="Y992" t="s">
        <v>14033</v>
      </c>
      <c r="Z992" t="s">
        <v>14058</v>
      </c>
      <c r="AA992" t="s">
        <v>14059</v>
      </c>
      <c r="AB992" t="s">
        <v>74</v>
      </c>
      <c r="AC992" t="s">
        <v>74</v>
      </c>
      <c r="AD992" t="s">
        <v>74</v>
      </c>
      <c r="AE992" t="s">
        <v>74</v>
      </c>
      <c r="AF992" t="s">
        <v>74</v>
      </c>
      <c r="AG992">
        <v>336</v>
      </c>
      <c r="AH992">
        <v>49</v>
      </c>
      <c r="AI992">
        <v>51</v>
      </c>
      <c r="AJ992">
        <v>0</v>
      </c>
      <c r="AK992">
        <v>1</v>
      </c>
      <c r="AL992" t="s">
        <v>10433</v>
      </c>
      <c r="AM992" t="s">
        <v>3586</v>
      </c>
      <c r="AN992" t="s">
        <v>10434</v>
      </c>
      <c r="AO992" t="s">
        <v>10435</v>
      </c>
      <c r="AP992" t="s">
        <v>74</v>
      </c>
      <c r="AQ992" t="s">
        <v>14036</v>
      </c>
      <c r="AR992" t="s">
        <v>10437</v>
      </c>
      <c r="AS992" t="s">
        <v>10438</v>
      </c>
      <c r="AT992" t="s">
        <v>74</v>
      </c>
      <c r="AU992">
        <v>2005</v>
      </c>
      <c r="AV992">
        <v>246</v>
      </c>
      <c r="AW992" t="s">
        <v>74</v>
      </c>
      <c r="AX992" t="s">
        <v>74</v>
      </c>
      <c r="AY992" t="s">
        <v>74</v>
      </c>
      <c r="AZ992" t="s">
        <v>74</v>
      </c>
      <c r="BA992" t="s">
        <v>74</v>
      </c>
      <c r="BB992">
        <v>143</v>
      </c>
      <c r="BC992">
        <v>178</v>
      </c>
      <c r="BD992" t="s">
        <v>74</v>
      </c>
      <c r="BE992" t="s">
        <v>74</v>
      </c>
      <c r="BF992" t="s">
        <v>74</v>
      </c>
      <c r="BG992" t="s">
        <v>74</v>
      </c>
      <c r="BH992" t="s">
        <v>74</v>
      </c>
      <c r="BI992">
        <v>36</v>
      </c>
      <c r="BJ992" t="s">
        <v>307</v>
      </c>
      <c r="BK992" t="s">
        <v>9004</v>
      </c>
      <c r="BL992" t="s">
        <v>307</v>
      </c>
      <c r="BM992" t="s">
        <v>14038</v>
      </c>
      <c r="BN992" t="s">
        <v>74</v>
      </c>
      <c r="BO992" t="s">
        <v>74</v>
      </c>
      <c r="BP992" t="s">
        <v>74</v>
      </c>
      <c r="BQ992" t="s">
        <v>74</v>
      </c>
      <c r="BR992" t="s">
        <v>97</v>
      </c>
      <c r="BS992" t="s">
        <v>14060</v>
      </c>
      <c r="BT992" t="str">
        <f>HYPERLINK("https%3A%2F%2Fwww.webofscience.com%2Fwos%2Fwoscc%2Ffull-record%2FWOS:000284585800005","View Full Record in Web of Science")</f>
        <v>View Full Record in Web of Science</v>
      </c>
    </row>
    <row r="993" spans="1:72" x14ac:dyDescent="0.15">
      <c r="A993" t="s">
        <v>1269</v>
      </c>
      <c r="B993" t="s">
        <v>14061</v>
      </c>
      <c r="C993" t="s">
        <v>74</v>
      </c>
      <c r="D993" t="s">
        <v>14025</v>
      </c>
      <c r="E993" t="s">
        <v>74</v>
      </c>
      <c r="F993" t="s">
        <v>14062</v>
      </c>
      <c r="G993" t="s">
        <v>74</v>
      </c>
      <c r="H993" t="s">
        <v>74</v>
      </c>
      <c r="I993" t="s">
        <v>14063</v>
      </c>
      <c r="J993" t="s">
        <v>14028</v>
      </c>
      <c r="K993" t="s">
        <v>10422</v>
      </c>
      <c r="L993" t="s">
        <v>74</v>
      </c>
      <c r="M993" t="s">
        <v>77</v>
      </c>
      <c r="N993" t="s">
        <v>8991</v>
      </c>
      <c r="O993" t="s">
        <v>74</v>
      </c>
      <c r="P993" t="s">
        <v>74</v>
      </c>
      <c r="Q993" t="s">
        <v>74</v>
      </c>
      <c r="R993" t="s">
        <v>74</v>
      </c>
      <c r="S993" t="s">
        <v>74</v>
      </c>
      <c r="T993" t="s">
        <v>74</v>
      </c>
      <c r="U993" t="s">
        <v>14064</v>
      </c>
      <c r="V993" t="s">
        <v>14065</v>
      </c>
      <c r="W993" t="s">
        <v>14066</v>
      </c>
      <c r="X993" t="s">
        <v>14067</v>
      </c>
      <c r="Y993" t="s">
        <v>14068</v>
      </c>
      <c r="Z993" t="s">
        <v>14069</v>
      </c>
      <c r="AA993" t="s">
        <v>74</v>
      </c>
      <c r="AB993" t="s">
        <v>74</v>
      </c>
      <c r="AC993" t="s">
        <v>74</v>
      </c>
      <c r="AD993" t="s">
        <v>74</v>
      </c>
      <c r="AE993" t="s">
        <v>74</v>
      </c>
      <c r="AF993" t="s">
        <v>74</v>
      </c>
      <c r="AG993">
        <v>229</v>
      </c>
      <c r="AH993">
        <v>62</v>
      </c>
      <c r="AI993">
        <v>68</v>
      </c>
      <c r="AJ993">
        <v>0</v>
      </c>
      <c r="AK993">
        <v>2</v>
      </c>
      <c r="AL993" t="s">
        <v>10433</v>
      </c>
      <c r="AM993" t="s">
        <v>3586</v>
      </c>
      <c r="AN993" t="s">
        <v>10434</v>
      </c>
      <c r="AO993" t="s">
        <v>10435</v>
      </c>
      <c r="AP993" t="s">
        <v>74</v>
      </c>
      <c r="AQ993" t="s">
        <v>14036</v>
      </c>
      <c r="AR993" t="s">
        <v>10437</v>
      </c>
      <c r="AS993" t="s">
        <v>10438</v>
      </c>
      <c r="AT993" t="s">
        <v>74</v>
      </c>
      <c r="AU993">
        <v>2005</v>
      </c>
      <c r="AV993">
        <v>246</v>
      </c>
      <c r="AW993" t="s">
        <v>74</v>
      </c>
      <c r="AX993" t="s">
        <v>74</v>
      </c>
      <c r="AY993" t="s">
        <v>74</v>
      </c>
      <c r="AZ993" t="s">
        <v>74</v>
      </c>
      <c r="BA993" t="s">
        <v>74</v>
      </c>
      <c r="BB993">
        <v>179</v>
      </c>
      <c r="BC993">
        <v>216</v>
      </c>
      <c r="BD993" t="s">
        <v>74</v>
      </c>
      <c r="BE993" t="s">
        <v>14070</v>
      </c>
      <c r="BF993" t="str">
        <f>HYPERLINK("http://dx.doi.org/10.1144/GSL.SP.2005.246.01.06","http://dx.doi.org/10.1144/GSL.SP.2005.246.01.06")</f>
        <v>http://dx.doi.org/10.1144/GSL.SP.2005.246.01.06</v>
      </c>
      <c r="BG993" t="s">
        <v>74</v>
      </c>
      <c r="BH993" t="s">
        <v>74</v>
      </c>
      <c r="BI993">
        <v>38</v>
      </c>
      <c r="BJ993" t="s">
        <v>307</v>
      </c>
      <c r="BK993" t="s">
        <v>9004</v>
      </c>
      <c r="BL993" t="s">
        <v>307</v>
      </c>
      <c r="BM993" t="s">
        <v>14038</v>
      </c>
      <c r="BN993" t="s">
        <v>74</v>
      </c>
      <c r="BO993" t="s">
        <v>74</v>
      </c>
      <c r="BP993" t="s">
        <v>74</v>
      </c>
      <c r="BQ993" t="s">
        <v>74</v>
      </c>
      <c r="BR993" t="s">
        <v>97</v>
      </c>
      <c r="BS993" t="s">
        <v>14071</v>
      </c>
      <c r="BT993" t="str">
        <f>HYPERLINK("https%3A%2F%2Fwww.webofscience.com%2Fwos%2Fwoscc%2Ffull-record%2FWOS:000284585800006","View Full Record in Web of Science")</f>
        <v>View Full Record in Web of Science</v>
      </c>
    </row>
    <row r="994" spans="1:72" x14ac:dyDescent="0.15">
      <c r="A994" t="s">
        <v>1269</v>
      </c>
      <c r="B994" t="s">
        <v>14072</v>
      </c>
      <c r="C994" t="s">
        <v>74</v>
      </c>
      <c r="D994" t="s">
        <v>14025</v>
      </c>
      <c r="E994" t="s">
        <v>74</v>
      </c>
      <c r="F994" t="s">
        <v>14073</v>
      </c>
      <c r="G994" t="s">
        <v>74</v>
      </c>
      <c r="H994" t="s">
        <v>74</v>
      </c>
      <c r="I994" t="s">
        <v>14074</v>
      </c>
      <c r="J994" t="s">
        <v>14028</v>
      </c>
      <c r="K994" t="s">
        <v>10422</v>
      </c>
      <c r="L994" t="s">
        <v>74</v>
      </c>
      <c r="M994" t="s">
        <v>77</v>
      </c>
      <c r="N994" t="s">
        <v>8991</v>
      </c>
      <c r="O994" t="s">
        <v>74</v>
      </c>
      <c r="P994" t="s">
        <v>74</v>
      </c>
      <c r="Q994" t="s">
        <v>74</v>
      </c>
      <c r="R994" t="s">
        <v>74</v>
      </c>
      <c r="S994" t="s">
        <v>74</v>
      </c>
      <c r="T994" t="s">
        <v>74</v>
      </c>
      <c r="U994" t="s">
        <v>14075</v>
      </c>
      <c r="V994" t="s">
        <v>14076</v>
      </c>
      <c r="W994" t="s">
        <v>14077</v>
      </c>
      <c r="X994" t="s">
        <v>14078</v>
      </c>
      <c r="Y994" t="s">
        <v>14079</v>
      </c>
      <c r="Z994" t="s">
        <v>14080</v>
      </c>
      <c r="AA994" t="s">
        <v>14081</v>
      </c>
      <c r="AB994" t="s">
        <v>14082</v>
      </c>
      <c r="AC994" t="s">
        <v>74</v>
      </c>
      <c r="AD994" t="s">
        <v>74</v>
      </c>
      <c r="AE994" t="s">
        <v>74</v>
      </c>
      <c r="AF994" t="s">
        <v>74</v>
      </c>
      <c r="AG994">
        <v>100</v>
      </c>
      <c r="AH994">
        <v>117</v>
      </c>
      <c r="AI994">
        <v>118</v>
      </c>
      <c r="AJ994">
        <v>0</v>
      </c>
      <c r="AK994">
        <v>1</v>
      </c>
      <c r="AL994" t="s">
        <v>10433</v>
      </c>
      <c r="AM994" t="s">
        <v>3586</v>
      </c>
      <c r="AN994" t="s">
        <v>10434</v>
      </c>
      <c r="AO994" t="s">
        <v>10435</v>
      </c>
      <c r="AP994" t="s">
        <v>74</v>
      </c>
      <c r="AQ994" t="s">
        <v>14036</v>
      </c>
      <c r="AR994" t="s">
        <v>10437</v>
      </c>
      <c r="AS994" t="s">
        <v>10438</v>
      </c>
      <c r="AT994" t="s">
        <v>74</v>
      </c>
      <c r="AU994">
        <v>2005</v>
      </c>
      <c r="AV994">
        <v>246</v>
      </c>
      <c r="AW994" t="s">
        <v>74</v>
      </c>
      <c r="AX994" t="s">
        <v>74</v>
      </c>
      <c r="AY994" t="s">
        <v>74</v>
      </c>
      <c r="AZ994" t="s">
        <v>74</v>
      </c>
      <c r="BA994" t="s">
        <v>74</v>
      </c>
      <c r="BB994">
        <v>217</v>
      </c>
      <c r="BC994">
        <v>239</v>
      </c>
      <c r="BD994" t="s">
        <v>74</v>
      </c>
      <c r="BE994" t="s">
        <v>14083</v>
      </c>
      <c r="BF994" t="str">
        <f>HYPERLINK("http://dx.doi.org/10.1144/GSL.SP.2005.246.01.07","http://dx.doi.org/10.1144/GSL.SP.2005.246.01.07")</f>
        <v>http://dx.doi.org/10.1144/GSL.SP.2005.246.01.07</v>
      </c>
      <c r="BG994" t="s">
        <v>74</v>
      </c>
      <c r="BH994" t="s">
        <v>74</v>
      </c>
      <c r="BI994">
        <v>23</v>
      </c>
      <c r="BJ994" t="s">
        <v>307</v>
      </c>
      <c r="BK994" t="s">
        <v>9004</v>
      </c>
      <c r="BL994" t="s">
        <v>307</v>
      </c>
      <c r="BM994" t="s">
        <v>14038</v>
      </c>
      <c r="BN994" t="s">
        <v>74</v>
      </c>
      <c r="BO994" t="s">
        <v>14084</v>
      </c>
      <c r="BP994" t="s">
        <v>74</v>
      </c>
      <c r="BQ994" t="s">
        <v>74</v>
      </c>
      <c r="BR994" t="s">
        <v>97</v>
      </c>
      <c r="BS994" t="s">
        <v>14085</v>
      </c>
      <c r="BT994" t="str">
        <f>HYPERLINK("https%3A%2F%2Fwww.webofscience.com%2Fwos%2Fwoscc%2Ffull-record%2FWOS:000284585800007","View Full Record in Web of Science")</f>
        <v>View Full Record in Web of Science</v>
      </c>
    </row>
    <row r="995" spans="1:72" x14ac:dyDescent="0.15">
      <c r="A995" t="s">
        <v>1269</v>
      </c>
      <c r="B995" t="s">
        <v>14086</v>
      </c>
      <c r="C995" t="s">
        <v>74</v>
      </c>
      <c r="D995" t="s">
        <v>14025</v>
      </c>
      <c r="E995" t="s">
        <v>74</v>
      </c>
      <c r="F995" t="s">
        <v>14087</v>
      </c>
      <c r="G995" t="s">
        <v>74</v>
      </c>
      <c r="H995" t="s">
        <v>74</v>
      </c>
      <c r="I995" t="s">
        <v>14088</v>
      </c>
      <c r="J995" t="s">
        <v>14028</v>
      </c>
      <c r="K995" t="s">
        <v>10422</v>
      </c>
      <c r="L995" t="s">
        <v>74</v>
      </c>
      <c r="M995" t="s">
        <v>77</v>
      </c>
      <c r="N995" t="s">
        <v>8991</v>
      </c>
      <c r="O995" t="s">
        <v>74</v>
      </c>
      <c r="P995" t="s">
        <v>74</v>
      </c>
      <c r="Q995" t="s">
        <v>74</v>
      </c>
      <c r="R995" t="s">
        <v>74</v>
      </c>
      <c r="S995" t="s">
        <v>74</v>
      </c>
      <c r="T995" t="s">
        <v>74</v>
      </c>
      <c r="U995" t="s">
        <v>14089</v>
      </c>
      <c r="V995" t="s">
        <v>14090</v>
      </c>
      <c r="W995" t="s">
        <v>14091</v>
      </c>
      <c r="X995" t="s">
        <v>74</v>
      </c>
      <c r="Y995" t="s">
        <v>14092</v>
      </c>
      <c r="Z995" t="s">
        <v>14093</v>
      </c>
      <c r="AA995" t="s">
        <v>74</v>
      </c>
      <c r="AB995" t="s">
        <v>74</v>
      </c>
      <c r="AC995" t="s">
        <v>74</v>
      </c>
      <c r="AD995" t="s">
        <v>74</v>
      </c>
      <c r="AE995" t="s">
        <v>74</v>
      </c>
      <c r="AF995" t="s">
        <v>74</v>
      </c>
      <c r="AG995">
        <v>103</v>
      </c>
      <c r="AH995">
        <v>49</v>
      </c>
      <c r="AI995">
        <v>53</v>
      </c>
      <c r="AJ995">
        <v>0</v>
      </c>
      <c r="AK995">
        <v>0</v>
      </c>
      <c r="AL995" t="s">
        <v>10433</v>
      </c>
      <c r="AM995" t="s">
        <v>3586</v>
      </c>
      <c r="AN995" t="s">
        <v>10434</v>
      </c>
      <c r="AO995" t="s">
        <v>10435</v>
      </c>
      <c r="AP995" t="s">
        <v>74</v>
      </c>
      <c r="AQ995" t="s">
        <v>14036</v>
      </c>
      <c r="AR995" t="s">
        <v>10437</v>
      </c>
      <c r="AS995" t="s">
        <v>10438</v>
      </c>
      <c r="AT995" t="s">
        <v>74</v>
      </c>
      <c r="AU995">
        <v>2005</v>
      </c>
      <c r="AV995">
        <v>246</v>
      </c>
      <c r="AW995" t="s">
        <v>74</v>
      </c>
      <c r="AX995" t="s">
        <v>74</v>
      </c>
      <c r="AY995" t="s">
        <v>74</v>
      </c>
      <c r="AZ995" t="s">
        <v>74</v>
      </c>
      <c r="BA995" t="s">
        <v>74</v>
      </c>
      <c r="BB995">
        <v>275</v>
      </c>
      <c r="BC995">
        <v>291</v>
      </c>
      <c r="BD995" t="s">
        <v>74</v>
      </c>
      <c r="BE995" t="s">
        <v>14094</v>
      </c>
      <c r="BF995" t="str">
        <f>HYPERLINK("http://dx.doi.org/10.1144/GSL.SP.2005.246.01.10","http://dx.doi.org/10.1144/GSL.SP.2005.246.01.10")</f>
        <v>http://dx.doi.org/10.1144/GSL.SP.2005.246.01.10</v>
      </c>
      <c r="BG995" t="s">
        <v>74</v>
      </c>
      <c r="BH995" t="s">
        <v>74</v>
      </c>
      <c r="BI995">
        <v>17</v>
      </c>
      <c r="BJ995" t="s">
        <v>307</v>
      </c>
      <c r="BK995" t="s">
        <v>9004</v>
      </c>
      <c r="BL995" t="s">
        <v>307</v>
      </c>
      <c r="BM995" t="s">
        <v>14038</v>
      </c>
      <c r="BN995" t="s">
        <v>74</v>
      </c>
      <c r="BO995" t="s">
        <v>74</v>
      </c>
      <c r="BP995" t="s">
        <v>74</v>
      </c>
      <c r="BQ995" t="s">
        <v>74</v>
      </c>
      <c r="BR995" t="s">
        <v>97</v>
      </c>
      <c r="BS995" t="s">
        <v>14095</v>
      </c>
      <c r="BT995" t="str">
        <f>HYPERLINK("https%3A%2F%2Fwww.webofscience.com%2Fwos%2Fwoscc%2Ffull-record%2FWOS:000284585800010","View Full Record in Web of Science")</f>
        <v>View Full Record in Web of Science</v>
      </c>
    </row>
    <row r="996" spans="1:72" x14ac:dyDescent="0.15">
      <c r="A996" t="s">
        <v>1269</v>
      </c>
      <c r="B996" t="s">
        <v>14096</v>
      </c>
      <c r="C996" t="s">
        <v>74</v>
      </c>
      <c r="D996" t="s">
        <v>14025</v>
      </c>
      <c r="E996" t="s">
        <v>74</v>
      </c>
      <c r="F996" t="s">
        <v>14097</v>
      </c>
      <c r="G996" t="s">
        <v>74</v>
      </c>
      <c r="H996" t="s">
        <v>74</v>
      </c>
      <c r="I996" t="s">
        <v>14098</v>
      </c>
      <c r="J996" t="s">
        <v>14028</v>
      </c>
      <c r="K996" t="s">
        <v>10422</v>
      </c>
      <c r="L996" t="s">
        <v>74</v>
      </c>
      <c r="M996" t="s">
        <v>77</v>
      </c>
      <c r="N996" t="s">
        <v>8991</v>
      </c>
      <c r="O996" t="s">
        <v>74</v>
      </c>
      <c r="P996" t="s">
        <v>74</v>
      </c>
      <c r="Q996" t="s">
        <v>74</v>
      </c>
      <c r="R996" t="s">
        <v>74</v>
      </c>
      <c r="S996" t="s">
        <v>74</v>
      </c>
      <c r="T996" t="s">
        <v>74</v>
      </c>
      <c r="U996" t="s">
        <v>14099</v>
      </c>
      <c r="V996" t="s">
        <v>14100</v>
      </c>
      <c r="W996" t="s">
        <v>14101</v>
      </c>
      <c r="X996" t="s">
        <v>14102</v>
      </c>
      <c r="Y996" t="s">
        <v>14103</v>
      </c>
      <c r="Z996" t="s">
        <v>14104</v>
      </c>
      <c r="AA996" t="s">
        <v>74</v>
      </c>
      <c r="AB996" t="s">
        <v>74</v>
      </c>
      <c r="AC996" t="s">
        <v>74</v>
      </c>
      <c r="AD996" t="s">
        <v>74</v>
      </c>
      <c r="AE996" t="s">
        <v>74</v>
      </c>
      <c r="AF996" t="s">
        <v>74</v>
      </c>
      <c r="AG996">
        <v>42</v>
      </c>
      <c r="AH996">
        <v>22</v>
      </c>
      <c r="AI996">
        <v>23</v>
      </c>
      <c r="AJ996">
        <v>0</v>
      </c>
      <c r="AK996">
        <v>1</v>
      </c>
      <c r="AL996" t="s">
        <v>10433</v>
      </c>
      <c r="AM996" t="s">
        <v>3586</v>
      </c>
      <c r="AN996" t="s">
        <v>10434</v>
      </c>
      <c r="AO996" t="s">
        <v>10435</v>
      </c>
      <c r="AP996" t="s">
        <v>74</v>
      </c>
      <c r="AQ996" t="s">
        <v>14036</v>
      </c>
      <c r="AR996" t="s">
        <v>10437</v>
      </c>
      <c r="AS996" t="s">
        <v>10438</v>
      </c>
      <c r="AT996" t="s">
        <v>74</v>
      </c>
      <c r="AU996">
        <v>2005</v>
      </c>
      <c r="AV996">
        <v>246</v>
      </c>
      <c r="AW996" t="s">
        <v>74</v>
      </c>
      <c r="AX996" t="s">
        <v>74</v>
      </c>
      <c r="AY996" t="s">
        <v>74</v>
      </c>
      <c r="AZ996" t="s">
        <v>74</v>
      </c>
      <c r="BA996" t="s">
        <v>74</v>
      </c>
      <c r="BB996">
        <v>347</v>
      </c>
      <c r="BC996">
        <v>357</v>
      </c>
      <c r="BD996" t="s">
        <v>74</v>
      </c>
      <c r="BE996" t="s">
        <v>14105</v>
      </c>
      <c r="BF996" t="str">
        <f>HYPERLINK("http://dx.doi.org/10.1144/GSL.SP.2005.246.01.14","http://dx.doi.org/10.1144/GSL.SP.2005.246.01.14")</f>
        <v>http://dx.doi.org/10.1144/GSL.SP.2005.246.01.14</v>
      </c>
      <c r="BG996" t="s">
        <v>74</v>
      </c>
      <c r="BH996" t="s">
        <v>74</v>
      </c>
      <c r="BI996">
        <v>11</v>
      </c>
      <c r="BJ996" t="s">
        <v>307</v>
      </c>
      <c r="BK996" t="s">
        <v>9004</v>
      </c>
      <c r="BL996" t="s">
        <v>307</v>
      </c>
      <c r="BM996" t="s">
        <v>14038</v>
      </c>
      <c r="BN996" t="s">
        <v>74</v>
      </c>
      <c r="BO996" t="s">
        <v>1165</v>
      </c>
      <c r="BP996" t="s">
        <v>74</v>
      </c>
      <c r="BQ996" t="s">
        <v>74</v>
      </c>
      <c r="BR996" t="s">
        <v>97</v>
      </c>
      <c r="BS996" t="s">
        <v>14106</v>
      </c>
      <c r="BT996" t="str">
        <f>HYPERLINK("https%3A%2F%2Fwww.webofscience.com%2Fwos%2Fwoscc%2Ffull-record%2FWOS:000284585800014","View Full Record in Web of Science")</f>
        <v>View Full Record in Web of Science</v>
      </c>
    </row>
    <row r="997" spans="1:72" x14ac:dyDescent="0.15">
      <c r="A997" t="s">
        <v>1269</v>
      </c>
      <c r="B997" t="s">
        <v>14107</v>
      </c>
      <c r="C997" t="s">
        <v>74</v>
      </c>
      <c r="D997" t="s">
        <v>14025</v>
      </c>
      <c r="E997" t="s">
        <v>74</v>
      </c>
      <c r="F997" t="s">
        <v>14108</v>
      </c>
      <c r="G997" t="s">
        <v>74</v>
      </c>
      <c r="H997" t="s">
        <v>74</v>
      </c>
      <c r="I997" t="s">
        <v>14109</v>
      </c>
      <c r="J997" t="s">
        <v>14028</v>
      </c>
      <c r="K997" t="s">
        <v>10422</v>
      </c>
      <c r="L997" t="s">
        <v>74</v>
      </c>
      <c r="M997" t="s">
        <v>77</v>
      </c>
      <c r="N997" t="s">
        <v>8991</v>
      </c>
      <c r="O997" t="s">
        <v>74</v>
      </c>
      <c r="P997" t="s">
        <v>74</v>
      </c>
      <c r="Q997" t="s">
        <v>74</v>
      </c>
      <c r="R997" t="s">
        <v>74</v>
      </c>
      <c r="S997" t="s">
        <v>74</v>
      </c>
      <c r="T997" t="s">
        <v>74</v>
      </c>
      <c r="U997" t="s">
        <v>14110</v>
      </c>
      <c r="V997" t="s">
        <v>14111</v>
      </c>
      <c r="W997" t="s">
        <v>14112</v>
      </c>
      <c r="X997" t="s">
        <v>14113</v>
      </c>
      <c r="Y997" t="s">
        <v>14114</v>
      </c>
      <c r="Z997" t="s">
        <v>14115</v>
      </c>
      <c r="AA997" t="s">
        <v>14116</v>
      </c>
      <c r="AB997" t="s">
        <v>14117</v>
      </c>
      <c r="AC997" t="s">
        <v>74</v>
      </c>
      <c r="AD997" t="s">
        <v>74</v>
      </c>
      <c r="AE997" t="s">
        <v>74</v>
      </c>
      <c r="AF997" t="s">
        <v>74</v>
      </c>
      <c r="AG997">
        <v>147</v>
      </c>
      <c r="AH997">
        <v>12</v>
      </c>
      <c r="AI997">
        <v>12</v>
      </c>
      <c r="AJ997">
        <v>0</v>
      </c>
      <c r="AK997">
        <v>6</v>
      </c>
      <c r="AL997" t="s">
        <v>10433</v>
      </c>
      <c r="AM997" t="s">
        <v>3586</v>
      </c>
      <c r="AN997" t="s">
        <v>10434</v>
      </c>
      <c r="AO997" t="s">
        <v>10435</v>
      </c>
      <c r="AP997" t="s">
        <v>74</v>
      </c>
      <c r="AQ997" t="s">
        <v>14036</v>
      </c>
      <c r="AR997" t="s">
        <v>10437</v>
      </c>
      <c r="AS997" t="s">
        <v>10438</v>
      </c>
      <c r="AT997" t="s">
        <v>74</v>
      </c>
      <c r="AU997">
        <v>2005</v>
      </c>
      <c r="AV997">
        <v>246</v>
      </c>
      <c r="AW997" t="s">
        <v>74</v>
      </c>
      <c r="AX997" t="s">
        <v>74</v>
      </c>
      <c r="AY997" t="s">
        <v>74</v>
      </c>
      <c r="AZ997" t="s">
        <v>74</v>
      </c>
      <c r="BA997" t="s">
        <v>74</v>
      </c>
      <c r="BB997">
        <v>359</v>
      </c>
      <c r="BC997">
        <v>380</v>
      </c>
      <c r="BD997" t="s">
        <v>74</v>
      </c>
      <c r="BE997" t="s">
        <v>14118</v>
      </c>
      <c r="BF997" t="str">
        <f>HYPERLINK("http://dx.doi.org/10.1144/GSL.SP.2005.246.01.15","http://dx.doi.org/10.1144/GSL.SP.2005.246.01.15")</f>
        <v>http://dx.doi.org/10.1144/GSL.SP.2005.246.01.15</v>
      </c>
      <c r="BG997" t="s">
        <v>74</v>
      </c>
      <c r="BH997" t="s">
        <v>74</v>
      </c>
      <c r="BI997">
        <v>22</v>
      </c>
      <c r="BJ997" t="s">
        <v>307</v>
      </c>
      <c r="BK997" t="s">
        <v>9004</v>
      </c>
      <c r="BL997" t="s">
        <v>307</v>
      </c>
      <c r="BM997" t="s">
        <v>14038</v>
      </c>
      <c r="BN997" t="s">
        <v>74</v>
      </c>
      <c r="BO997" t="s">
        <v>74</v>
      </c>
      <c r="BP997" t="s">
        <v>74</v>
      </c>
      <c r="BQ997" t="s">
        <v>74</v>
      </c>
      <c r="BR997" t="s">
        <v>97</v>
      </c>
      <c r="BS997" t="s">
        <v>14119</v>
      </c>
      <c r="BT997" t="str">
        <f>HYPERLINK("https%3A%2F%2Fwww.webofscience.com%2Fwos%2Fwoscc%2Ffull-record%2FWOS:000284585800015","View Full Record in Web of Science")</f>
        <v>View Full Record in Web of Science</v>
      </c>
    </row>
    <row r="998" spans="1:72" x14ac:dyDescent="0.15">
      <c r="A998" t="s">
        <v>1269</v>
      </c>
      <c r="B998" t="s">
        <v>14120</v>
      </c>
      <c r="C998" t="s">
        <v>74</v>
      </c>
      <c r="D998" t="s">
        <v>14121</v>
      </c>
      <c r="E998" t="s">
        <v>74</v>
      </c>
      <c r="F998" t="s">
        <v>14120</v>
      </c>
      <c r="G998" t="s">
        <v>74</v>
      </c>
      <c r="H998" t="s">
        <v>74</v>
      </c>
      <c r="I998" t="s">
        <v>14122</v>
      </c>
      <c r="J998" t="s">
        <v>14123</v>
      </c>
      <c r="K998" t="s">
        <v>14124</v>
      </c>
      <c r="L998" t="s">
        <v>74</v>
      </c>
      <c r="M998" t="s">
        <v>77</v>
      </c>
      <c r="N998" t="s">
        <v>495</v>
      </c>
      <c r="O998" t="s">
        <v>14125</v>
      </c>
      <c r="P998" t="s">
        <v>14126</v>
      </c>
      <c r="Q998" t="s">
        <v>14127</v>
      </c>
      <c r="R998" t="s">
        <v>74</v>
      </c>
      <c r="S998" t="s">
        <v>74</v>
      </c>
      <c r="T998" t="s">
        <v>14128</v>
      </c>
      <c r="U998" t="s">
        <v>14129</v>
      </c>
      <c r="V998" t="s">
        <v>14130</v>
      </c>
      <c r="W998" t="s">
        <v>14131</v>
      </c>
      <c r="X998" t="s">
        <v>1905</v>
      </c>
      <c r="Y998" t="s">
        <v>14132</v>
      </c>
      <c r="Z998" t="s">
        <v>14133</v>
      </c>
      <c r="AA998" t="s">
        <v>14134</v>
      </c>
      <c r="AB998" t="s">
        <v>14135</v>
      </c>
      <c r="AC998" t="s">
        <v>74</v>
      </c>
      <c r="AD998" t="s">
        <v>74</v>
      </c>
      <c r="AE998" t="s">
        <v>74</v>
      </c>
      <c r="AF998" t="s">
        <v>74</v>
      </c>
      <c r="AG998">
        <v>4</v>
      </c>
      <c r="AH998">
        <v>2</v>
      </c>
      <c r="AI998">
        <v>3</v>
      </c>
      <c r="AJ998">
        <v>0</v>
      </c>
      <c r="AK998">
        <v>1</v>
      </c>
      <c r="AL998" t="s">
        <v>14136</v>
      </c>
      <c r="AM998" t="s">
        <v>134</v>
      </c>
      <c r="AN998" t="s">
        <v>14137</v>
      </c>
      <c r="AO998" t="s">
        <v>14138</v>
      </c>
      <c r="AP998" t="s">
        <v>74</v>
      </c>
      <c r="AQ998" t="s">
        <v>14139</v>
      </c>
      <c r="AR998" t="s">
        <v>14140</v>
      </c>
      <c r="AS998" t="s">
        <v>14141</v>
      </c>
      <c r="AT998" t="s">
        <v>74</v>
      </c>
      <c r="AU998">
        <v>2005</v>
      </c>
      <c r="AV998">
        <v>1040</v>
      </c>
      <c r="AW998" t="s">
        <v>74</v>
      </c>
      <c r="AX998" t="s">
        <v>74</v>
      </c>
      <c r="AY998" t="s">
        <v>74</v>
      </c>
      <c r="AZ998" t="s">
        <v>74</v>
      </c>
      <c r="BA998" t="s">
        <v>74</v>
      </c>
      <c r="BB998">
        <v>257</v>
      </c>
      <c r="BC998">
        <v>260</v>
      </c>
      <c r="BD998" t="s">
        <v>74</v>
      </c>
      <c r="BE998" t="s">
        <v>14142</v>
      </c>
      <c r="BF998" t="str">
        <f>HYPERLINK("http://dx.doi.org/10.1196/annals.1327.037","http://dx.doi.org/10.1196/annals.1327.037")</f>
        <v>http://dx.doi.org/10.1196/annals.1327.037</v>
      </c>
      <c r="BG998" t="s">
        <v>74</v>
      </c>
      <c r="BH998" t="s">
        <v>74</v>
      </c>
      <c r="BI998">
        <v>4</v>
      </c>
      <c r="BJ998" t="s">
        <v>14143</v>
      </c>
      <c r="BK998" t="s">
        <v>989</v>
      </c>
      <c r="BL998" t="s">
        <v>14144</v>
      </c>
      <c r="BM998" t="s">
        <v>14145</v>
      </c>
      <c r="BN998">
        <v>15891037</v>
      </c>
      <c r="BO998" t="s">
        <v>74</v>
      </c>
      <c r="BP998" t="s">
        <v>74</v>
      </c>
      <c r="BQ998" t="s">
        <v>74</v>
      </c>
      <c r="BR998" t="s">
        <v>97</v>
      </c>
      <c r="BS998" t="s">
        <v>14146</v>
      </c>
      <c r="BT998" t="str">
        <f>HYPERLINK("https%3A%2F%2Fwww.webofscience.com%2Fwos%2Fwoscc%2Ffull-record%2FWOS:000230936100037","View Full Record in Web of Science")</f>
        <v>View Full Record in Web of Science</v>
      </c>
    </row>
    <row r="999" spans="1:72" x14ac:dyDescent="0.15">
      <c r="A999" t="s">
        <v>72</v>
      </c>
      <c r="B999" t="s">
        <v>14147</v>
      </c>
      <c r="C999" t="s">
        <v>74</v>
      </c>
      <c r="D999" t="s">
        <v>74</v>
      </c>
      <c r="E999" t="s">
        <v>74</v>
      </c>
      <c r="F999" t="s">
        <v>14147</v>
      </c>
      <c r="G999" t="s">
        <v>74</v>
      </c>
      <c r="H999" t="s">
        <v>74</v>
      </c>
      <c r="I999" t="s">
        <v>14148</v>
      </c>
      <c r="J999" t="s">
        <v>14149</v>
      </c>
      <c r="K999" t="s">
        <v>74</v>
      </c>
      <c r="L999" t="s">
        <v>74</v>
      </c>
      <c r="M999" t="s">
        <v>77</v>
      </c>
      <c r="N999" t="s">
        <v>78</v>
      </c>
      <c r="O999" t="s">
        <v>74</v>
      </c>
      <c r="P999" t="s">
        <v>74</v>
      </c>
      <c r="Q999" t="s">
        <v>74</v>
      </c>
      <c r="R999" t="s">
        <v>74</v>
      </c>
      <c r="S999" t="s">
        <v>74</v>
      </c>
      <c r="T999" t="s">
        <v>74</v>
      </c>
      <c r="U999" t="s">
        <v>14150</v>
      </c>
      <c r="V999" t="s">
        <v>14151</v>
      </c>
      <c r="W999" t="s">
        <v>670</v>
      </c>
      <c r="X999" t="s">
        <v>671</v>
      </c>
      <c r="Y999" t="s">
        <v>2616</v>
      </c>
      <c r="Z999" t="s">
        <v>14152</v>
      </c>
      <c r="AA999" t="s">
        <v>74</v>
      </c>
      <c r="AB999" t="s">
        <v>74</v>
      </c>
      <c r="AC999" t="s">
        <v>74</v>
      </c>
      <c r="AD999" t="s">
        <v>74</v>
      </c>
      <c r="AE999" t="s">
        <v>74</v>
      </c>
      <c r="AF999" t="s">
        <v>74</v>
      </c>
      <c r="AG999">
        <v>34</v>
      </c>
      <c r="AH999">
        <v>194</v>
      </c>
      <c r="AI999">
        <v>212</v>
      </c>
      <c r="AJ999">
        <v>1</v>
      </c>
      <c r="AK999">
        <v>41</v>
      </c>
      <c r="AL999" t="s">
        <v>14153</v>
      </c>
      <c r="AM999" t="s">
        <v>739</v>
      </c>
      <c r="AN999" t="s">
        <v>14154</v>
      </c>
      <c r="AO999" t="s">
        <v>14155</v>
      </c>
      <c r="AP999" t="s">
        <v>14156</v>
      </c>
      <c r="AQ999" t="s">
        <v>74</v>
      </c>
      <c r="AR999" t="s">
        <v>14157</v>
      </c>
      <c r="AS999" t="s">
        <v>14158</v>
      </c>
      <c r="AT999" t="s">
        <v>9676</v>
      </c>
      <c r="AU999">
        <v>2005</v>
      </c>
      <c r="AV999">
        <v>20</v>
      </c>
      <c r="AW999">
        <v>1</v>
      </c>
      <c r="AX999" t="s">
        <v>74</v>
      </c>
      <c r="AY999" t="s">
        <v>74</v>
      </c>
      <c r="AZ999" t="s">
        <v>74</v>
      </c>
      <c r="BA999" t="s">
        <v>74</v>
      </c>
      <c r="BB999">
        <v>1</v>
      </c>
      <c r="BC999">
        <v>3</v>
      </c>
      <c r="BD999" t="s">
        <v>74</v>
      </c>
      <c r="BE999" t="s">
        <v>14159</v>
      </c>
      <c r="BF999" t="str">
        <f>HYPERLINK("http://dx.doi.org/10.1016/j.tree.2004.10.004","http://dx.doi.org/10.1016/j.tree.2004.10.004")</f>
        <v>http://dx.doi.org/10.1016/j.tree.2004.10.004</v>
      </c>
      <c r="BG999" t="s">
        <v>74</v>
      </c>
      <c r="BH999" t="s">
        <v>74</v>
      </c>
      <c r="BI999">
        <v>3</v>
      </c>
      <c r="BJ999" t="s">
        <v>3266</v>
      </c>
      <c r="BK999" t="s">
        <v>95</v>
      </c>
      <c r="BL999" t="s">
        <v>3267</v>
      </c>
      <c r="BM999" t="s">
        <v>14160</v>
      </c>
      <c r="BN999">
        <v>16701330</v>
      </c>
      <c r="BO999" t="s">
        <v>74</v>
      </c>
      <c r="BP999" t="s">
        <v>74</v>
      </c>
      <c r="BQ999" t="s">
        <v>74</v>
      </c>
      <c r="BR999" t="s">
        <v>97</v>
      </c>
      <c r="BS999" t="s">
        <v>14161</v>
      </c>
      <c r="BT999" t="str">
        <f>HYPERLINK("https%3A%2F%2Fwww.webofscience.com%2Fwos%2Fwoscc%2Ffull-record%2FWOS:000226565300001","View Full Record in Web of Science")</f>
        <v>View Full Record in Web of Science</v>
      </c>
    </row>
    <row r="1000" spans="1:72" x14ac:dyDescent="0.15">
      <c r="A1000" t="s">
        <v>8867</v>
      </c>
      <c r="B1000" t="s">
        <v>14162</v>
      </c>
      <c r="C1000" t="s">
        <v>74</v>
      </c>
      <c r="D1000" t="s">
        <v>14163</v>
      </c>
      <c r="E1000" t="s">
        <v>74</v>
      </c>
      <c r="F1000" t="s">
        <v>14162</v>
      </c>
      <c r="G1000" t="s">
        <v>74</v>
      </c>
      <c r="H1000" t="s">
        <v>74</v>
      </c>
      <c r="I1000" t="s">
        <v>14164</v>
      </c>
      <c r="J1000" t="s">
        <v>14165</v>
      </c>
      <c r="K1000" t="s">
        <v>9826</v>
      </c>
      <c r="L1000" t="s">
        <v>74</v>
      </c>
      <c r="M1000" t="s">
        <v>77</v>
      </c>
      <c r="N1000" t="s">
        <v>8873</v>
      </c>
      <c r="O1000" t="s">
        <v>14166</v>
      </c>
      <c r="P1000" t="s">
        <v>14167</v>
      </c>
      <c r="Q1000" t="s">
        <v>14168</v>
      </c>
      <c r="R1000" t="s">
        <v>74</v>
      </c>
      <c r="S1000" t="s">
        <v>74</v>
      </c>
      <c r="T1000" t="s">
        <v>14169</v>
      </c>
      <c r="U1000" t="s">
        <v>74</v>
      </c>
      <c r="V1000" t="s">
        <v>14170</v>
      </c>
      <c r="W1000" t="s">
        <v>14171</v>
      </c>
      <c r="X1000" t="s">
        <v>14172</v>
      </c>
      <c r="Y1000" t="s">
        <v>14173</v>
      </c>
      <c r="Z1000" t="s">
        <v>14174</v>
      </c>
      <c r="AA1000" t="s">
        <v>14175</v>
      </c>
      <c r="AB1000" t="s">
        <v>74</v>
      </c>
      <c r="AC1000" t="s">
        <v>74</v>
      </c>
      <c r="AD1000" t="s">
        <v>74</v>
      </c>
      <c r="AE1000" t="s">
        <v>74</v>
      </c>
      <c r="AF1000" t="s">
        <v>74</v>
      </c>
      <c r="AG1000">
        <v>6</v>
      </c>
      <c r="AH1000">
        <v>0</v>
      </c>
      <c r="AI1000">
        <v>0</v>
      </c>
      <c r="AJ1000">
        <v>0</v>
      </c>
      <c r="AK1000">
        <v>0</v>
      </c>
      <c r="AL1000" t="s">
        <v>9655</v>
      </c>
      <c r="AM1000" t="s">
        <v>9656</v>
      </c>
      <c r="AN1000" t="s">
        <v>9657</v>
      </c>
      <c r="AO1000" t="s">
        <v>9658</v>
      </c>
      <c r="AP1000" t="s">
        <v>74</v>
      </c>
      <c r="AQ1000" t="s">
        <v>14176</v>
      </c>
      <c r="AR1000" t="s">
        <v>9838</v>
      </c>
      <c r="AS1000" t="s">
        <v>74</v>
      </c>
      <c r="AT1000" t="s">
        <v>74</v>
      </c>
      <c r="AU1000">
        <v>2005</v>
      </c>
      <c r="AV1000">
        <v>6160</v>
      </c>
      <c r="AW1000" t="s">
        <v>74</v>
      </c>
      <c r="AX1000" t="s">
        <v>442</v>
      </c>
      <c r="AY1000" t="s">
        <v>74</v>
      </c>
      <c r="AZ1000" t="s">
        <v>74</v>
      </c>
      <c r="BA1000" t="s">
        <v>74</v>
      </c>
      <c r="BB1000" t="s">
        <v>74</v>
      </c>
      <c r="BC1000" t="s">
        <v>74</v>
      </c>
      <c r="BD1000" t="s">
        <v>14177</v>
      </c>
      <c r="BE1000" t="s">
        <v>14178</v>
      </c>
      <c r="BF1000" t="str">
        <f>HYPERLINK("http://dx.doi.org/10.1117/12.675895","http://dx.doi.org/10.1117/12.675895")</f>
        <v>http://dx.doi.org/10.1117/12.675895</v>
      </c>
      <c r="BG1000" t="s">
        <v>74</v>
      </c>
      <c r="BH1000" t="s">
        <v>74</v>
      </c>
      <c r="BI1000">
        <v>8</v>
      </c>
      <c r="BJ1000" t="s">
        <v>14179</v>
      </c>
      <c r="BK1000" t="s">
        <v>8890</v>
      </c>
      <c r="BL1000" t="s">
        <v>14179</v>
      </c>
      <c r="BM1000" t="s">
        <v>14180</v>
      </c>
      <c r="BN1000" t="s">
        <v>74</v>
      </c>
      <c r="BO1000" t="s">
        <v>74</v>
      </c>
      <c r="BP1000" t="s">
        <v>74</v>
      </c>
      <c r="BQ1000" t="s">
        <v>74</v>
      </c>
      <c r="BR1000" t="s">
        <v>97</v>
      </c>
      <c r="BS1000" t="s">
        <v>14181</v>
      </c>
      <c r="BT1000" t="str">
        <f>HYPERLINK("https%3A%2F%2Fwww.webofscience.com%2Fwos%2Fwoscc%2Ffull-record%2FWOS:000235907100093","View Full Record in Web of Science")</f>
        <v>View Full Record in Web of Science</v>
      </c>
    </row>
    <row r="1001" spans="1:72" x14ac:dyDescent="0.15">
      <c r="A1001" t="s">
        <v>8867</v>
      </c>
      <c r="B1001" t="s">
        <v>14182</v>
      </c>
      <c r="C1001" t="s">
        <v>74</v>
      </c>
      <c r="D1001" t="s">
        <v>14183</v>
      </c>
      <c r="E1001" t="s">
        <v>74</v>
      </c>
      <c r="F1001" t="s">
        <v>14182</v>
      </c>
      <c r="G1001" t="s">
        <v>74</v>
      </c>
      <c r="H1001" t="s">
        <v>74</v>
      </c>
      <c r="I1001" t="s">
        <v>14184</v>
      </c>
      <c r="J1001" t="s">
        <v>14185</v>
      </c>
      <c r="K1001" t="s">
        <v>74</v>
      </c>
      <c r="L1001" t="s">
        <v>74</v>
      </c>
      <c r="M1001" t="s">
        <v>77</v>
      </c>
      <c r="N1001" t="s">
        <v>8873</v>
      </c>
      <c r="O1001" t="s">
        <v>14186</v>
      </c>
      <c r="P1001" t="s">
        <v>14187</v>
      </c>
      <c r="Q1001" t="s">
        <v>14188</v>
      </c>
      <c r="R1001" t="s">
        <v>74</v>
      </c>
      <c r="S1001" t="s">
        <v>74</v>
      </c>
      <c r="T1001" t="s">
        <v>14189</v>
      </c>
      <c r="U1001" t="s">
        <v>74</v>
      </c>
      <c r="V1001" t="s">
        <v>14190</v>
      </c>
      <c r="W1001" t="s">
        <v>14191</v>
      </c>
      <c r="X1001" t="s">
        <v>14192</v>
      </c>
      <c r="Y1001" t="s">
        <v>14193</v>
      </c>
      <c r="Z1001" t="s">
        <v>74</v>
      </c>
      <c r="AA1001" t="s">
        <v>74</v>
      </c>
      <c r="AB1001" t="s">
        <v>74</v>
      </c>
      <c r="AC1001" t="s">
        <v>74</v>
      </c>
      <c r="AD1001" t="s">
        <v>74</v>
      </c>
      <c r="AE1001" t="s">
        <v>74</v>
      </c>
      <c r="AF1001" t="s">
        <v>74</v>
      </c>
      <c r="AG1001">
        <v>5</v>
      </c>
      <c r="AH1001">
        <v>0</v>
      </c>
      <c r="AI1001">
        <v>0</v>
      </c>
      <c r="AJ1001">
        <v>0</v>
      </c>
      <c r="AK1001">
        <v>0</v>
      </c>
      <c r="AL1001" t="s">
        <v>9042</v>
      </c>
      <c r="AM1001" t="s">
        <v>9043</v>
      </c>
      <c r="AN1001" t="s">
        <v>9044</v>
      </c>
      <c r="AO1001" t="s">
        <v>74</v>
      </c>
      <c r="AP1001" t="s">
        <v>74</v>
      </c>
      <c r="AQ1001" t="s">
        <v>14194</v>
      </c>
      <c r="AR1001" t="s">
        <v>74</v>
      </c>
      <c r="AS1001" t="s">
        <v>74</v>
      </c>
      <c r="AT1001" t="s">
        <v>74</v>
      </c>
      <c r="AU1001">
        <v>2005</v>
      </c>
      <c r="AV1001" t="s">
        <v>74</v>
      </c>
      <c r="AW1001" t="s">
        <v>74</v>
      </c>
      <c r="AX1001" t="s">
        <v>74</v>
      </c>
      <c r="AY1001" t="s">
        <v>74</v>
      </c>
      <c r="AZ1001" t="s">
        <v>74</v>
      </c>
      <c r="BA1001" t="s">
        <v>74</v>
      </c>
      <c r="BB1001">
        <v>561</v>
      </c>
      <c r="BC1001">
        <v>568</v>
      </c>
      <c r="BD1001" t="s">
        <v>74</v>
      </c>
      <c r="BE1001" t="s">
        <v>74</v>
      </c>
      <c r="BF1001" t="s">
        <v>74</v>
      </c>
      <c r="BG1001" t="s">
        <v>74</v>
      </c>
      <c r="BH1001" t="s">
        <v>74</v>
      </c>
      <c r="BI1001">
        <v>8</v>
      </c>
      <c r="BJ1001" t="s">
        <v>14195</v>
      </c>
      <c r="BK1001" t="s">
        <v>8890</v>
      </c>
      <c r="BL1001" t="s">
        <v>14196</v>
      </c>
      <c r="BM1001" t="s">
        <v>14197</v>
      </c>
      <c r="BN1001" t="s">
        <v>74</v>
      </c>
      <c r="BO1001" t="s">
        <v>74</v>
      </c>
      <c r="BP1001" t="s">
        <v>74</v>
      </c>
      <c r="BQ1001" t="s">
        <v>74</v>
      </c>
      <c r="BR1001" t="s">
        <v>97</v>
      </c>
      <c r="BS1001" t="s">
        <v>14198</v>
      </c>
      <c r="BT1001" t="str">
        <f>HYPERLINK("https%3A%2F%2Fwww.webofscience.com%2Fwos%2Fwoscc%2Ffull-record%2FWOS:000230076600054","View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2024-07-28T15:26:27Z</dcterms:created>
  <dcterms:modified xsi:type="dcterms:W3CDTF">2024-07-28T15:26:27Z</dcterms:modified>
</cp:coreProperties>
</file>